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RCC Pipes Drain at Bijoliya CK NWPPL 14062026/"/>
    </mc:Choice>
  </mc:AlternateContent>
  <xr:revisionPtr revIDLastSave="10" documentId="8_{9EFCCD94-026A-4456-9492-C352CA452A51}" xr6:coauthVersionLast="47" xr6:coauthVersionMax="47" xr10:uidLastSave="{39295C8B-552C-465A-BD33-126DA140AED5}"/>
  <bookViews>
    <workbookView xWindow="-116" yWindow="-116" windowWidth="24917" windowHeight="13410" firstSheet="1" activeTab="1" xr2:uid="{599F9F61-2BDE-4BB9-A221-F4438A2BAFF8}"/>
  </bookViews>
  <sheets>
    <sheet name="BOQ" sheetId="2" state="hidden" r:id="rId1"/>
    <sheet name="BOQ (Final)" sheetId="7" r:id="rId2"/>
    <sheet name="Measurement" sheetId="4" r:id="rId3"/>
    <sheet name="Pic" sheetId="5" r:id="rId4"/>
    <sheet name="Chamber Calc" sheetId="6" r:id="rId5"/>
  </sheets>
  <definedNames>
    <definedName name="_xlnm.Print_Area" localSheetId="1">'BOQ (Final)'!$A$1:$G$17</definedName>
    <definedName name="_xlnm.Print_Area" localSheetId="2">Measurement!$A$1:$N$27</definedName>
    <definedName name="_xlnm.Print_Area" localSheetId="3">Pic!$A$1:$I$27</definedName>
    <definedName name="_xlnm.Print_Titles" localSheetId="1">'BOQ (Final)'!$1:$3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4" l="1"/>
  <c r="K17" i="4"/>
  <c r="K8" i="4"/>
  <c r="J17" i="6"/>
  <c r="K17" i="6"/>
  <c r="J18" i="6"/>
  <c r="K18" i="6"/>
  <c r="J19" i="6"/>
  <c r="K19" i="6"/>
  <c r="J20" i="6"/>
  <c r="K20" i="6"/>
  <c r="J21" i="6"/>
  <c r="K21" i="6"/>
  <c r="J22" i="6"/>
  <c r="K22" i="6"/>
  <c r="J23" i="6"/>
  <c r="K23" i="6"/>
  <c r="J24" i="6"/>
  <c r="K24" i="6"/>
  <c r="O4" i="6"/>
  <c r="F11" i="6" l="1"/>
  <c r="O5" i="6" l="1"/>
  <c r="G12" i="6"/>
  <c r="F12" i="6"/>
  <c r="H10" i="6"/>
  <c r="F9" i="6"/>
  <c r="G7" i="6"/>
  <c r="F7" i="6"/>
  <c r="G6" i="6"/>
  <c r="F6" i="6"/>
  <c r="I14" i="4"/>
  <c r="I15" i="4"/>
  <c r="I16" i="4"/>
  <c r="I13" i="4"/>
  <c r="I5" i="4"/>
  <c r="I6" i="4"/>
  <c r="I7" i="4"/>
  <c r="I4" i="4"/>
  <c r="H17" i="6" l="1"/>
  <c r="H23" i="6" s="1"/>
  <c r="I17" i="6"/>
  <c r="H18" i="6"/>
  <c r="I18" i="6"/>
  <c r="I19" i="6"/>
  <c r="I20" i="6"/>
  <c r="H21" i="6"/>
  <c r="H24" i="6" s="1"/>
  <c r="I22" i="6"/>
  <c r="I23" i="6"/>
  <c r="I24" i="6"/>
  <c r="H9" i="6"/>
  <c r="H16" i="4"/>
  <c r="K16" i="4" s="1"/>
  <c r="H15" i="4"/>
  <c r="K15" i="4" s="1"/>
  <c r="H14" i="4"/>
  <c r="K14" i="4" s="1"/>
  <c r="H13" i="4"/>
  <c r="K13" i="4" s="1"/>
  <c r="H12" i="4"/>
  <c r="H11" i="4"/>
  <c r="H10" i="4"/>
  <c r="H9" i="4"/>
  <c r="H7" i="4"/>
  <c r="K7" i="4" s="1"/>
  <c r="H6" i="4"/>
  <c r="K6" i="4" s="1"/>
  <c r="H5" i="4"/>
  <c r="K5" i="4" s="1"/>
  <c r="H4" i="4"/>
  <c r="K4" i="4" s="1"/>
  <c r="H21" i="4"/>
  <c r="H20" i="4"/>
  <c r="H19" i="4"/>
  <c r="H18" i="4"/>
  <c r="H19" i="6" l="1"/>
  <c r="H20" i="6"/>
  <c r="I21" i="6"/>
  <c r="H22" i="6"/>
  <c r="K12" i="4"/>
  <c r="G26" i="4"/>
  <c r="K26" i="4" s="1"/>
  <c r="K9" i="4"/>
  <c r="G23" i="4"/>
  <c r="K23" i="4" s="1"/>
  <c r="K10" i="4"/>
  <c r="G24" i="4"/>
  <c r="K24" i="4" s="1"/>
  <c r="K11" i="4"/>
  <c r="G25" i="4"/>
  <c r="K25" i="4" s="1"/>
  <c r="L17" i="6"/>
  <c r="L18" i="6"/>
  <c r="L20" i="6"/>
  <c r="L22" i="6"/>
  <c r="L19" i="6"/>
  <c r="L24" i="6"/>
  <c r="K21" i="4"/>
  <c r="Q26" i="4"/>
  <c r="K19" i="4"/>
  <c r="Q24" i="4"/>
  <c r="K20" i="4"/>
  <c r="Q25" i="4"/>
  <c r="K18" i="4"/>
  <c r="Q23" i="4"/>
  <c r="L23" i="6"/>
  <c r="L21" i="6"/>
  <c r="K27" i="4" l="1"/>
  <c r="D4" i="7"/>
  <c r="F4" i="7" s="1"/>
  <c r="N8" i="4"/>
  <c r="K22" i="4"/>
  <c r="L25" i="6"/>
  <c r="H13" i="6" s="1"/>
  <c r="D4" i="2"/>
  <c r="F4" i="2" s="1"/>
  <c r="D5" i="2" l="1"/>
  <c r="F5" i="2" s="1"/>
  <c r="D6" i="6"/>
  <c r="D7" i="2"/>
  <c r="F7" i="2" s="1"/>
  <c r="D6" i="7"/>
  <c r="F6" i="7" s="1"/>
  <c r="N22" i="4"/>
  <c r="D8" i="2"/>
  <c r="F8" i="2" s="1"/>
  <c r="D6" i="2"/>
  <c r="F6" i="2" s="1"/>
  <c r="I6" i="6" l="1"/>
  <c r="D7" i="6"/>
  <c r="F9" i="2"/>
  <c r="F10" i="2" s="1"/>
  <c r="F11" i="2" s="1"/>
  <c r="D8" i="6" l="1"/>
  <c r="I7" i="6"/>
  <c r="K6" i="6"/>
  <c r="D5" i="7"/>
  <c r="F5" i="7" s="1"/>
  <c r="K7" i="6" l="1"/>
  <c r="D9" i="6"/>
  <c r="I8" i="6"/>
  <c r="K8" i="6" s="1"/>
  <c r="I9" i="6" l="1"/>
  <c r="K9" i="6" s="1"/>
  <c r="D10" i="6"/>
  <c r="D11" i="6" l="1"/>
  <c r="I10" i="6"/>
  <c r="K10" i="6" l="1"/>
  <c r="D12" i="6"/>
  <c r="I11" i="6"/>
  <c r="K11" i="6" s="1"/>
  <c r="I12" i="6" l="1"/>
  <c r="K12" i="6" s="1"/>
  <c r="D13" i="6"/>
  <c r="I13" i="6" s="1"/>
  <c r="D7" i="7" l="1"/>
  <c r="F7" i="7" s="1"/>
  <c r="K13" i="6"/>
  <c r="K14" i="6" s="1"/>
  <c r="D8" i="7"/>
  <c r="F8" i="7" s="1"/>
  <c r="F9" i="7" l="1"/>
  <c r="N27" i="4"/>
  <c r="F10" i="7" l="1"/>
  <c r="F11" i="7" s="1"/>
</calcChain>
</file>

<file path=xl/sharedStrings.xml><?xml version="1.0" encoding="utf-8"?>
<sst xmlns="http://schemas.openxmlformats.org/spreadsheetml/2006/main" count="162" uniqueCount="83">
  <si>
    <t>Chittorgarh-Kota</t>
  </si>
  <si>
    <t>BOQ of Pipe laying</t>
  </si>
  <si>
    <t>S.No</t>
  </si>
  <si>
    <t>Description of Works</t>
  </si>
  <si>
    <t>UOM</t>
  </si>
  <si>
    <t>Qty</t>
  </si>
  <si>
    <t>Rate</t>
  </si>
  <si>
    <t>Amount</t>
  </si>
  <si>
    <t>Remarks</t>
  </si>
  <si>
    <t>Earth work in excavation in foundation trenches etc. .in drains and channels etc. not exceeding 2m.depth, including dressing of bottom and sides of trenches, stacking the excavated soil 3m Clear from the edge of excavation including disposal of surplus soil as directed within a lead of 1000 meters [MoRTH Specification : Clause 301,304]
3.14.3.2- Hard Rock</t>
  </si>
  <si>
    <t>Cum</t>
  </si>
  <si>
    <t>BSR 2024, Item No. 3.14.3.2</t>
  </si>
  <si>
    <t>PCC M-15 grade leveling course below &amp; above N.P.4 pipe complete as per drawing and MoRTH specifications clause 14.10.</t>
  </si>
  <si>
    <t>BSR 2024, Item No. Item 14.8</t>
  </si>
  <si>
    <t>Providing and laying reinforced cement concrete pipes N.P.4 for culverts including jointing ends and fixing collar with cement mortar 1:2 [MoRTH Specification : Clause : 1000/2900]
9.15.3- 900 mm Dia</t>
  </si>
  <si>
    <t>Rmt.</t>
  </si>
  <si>
    <t>BSR 2024, Item No.9.15.4</t>
  </si>
  <si>
    <t>Providing and constructing RCC Inspection Chamber of internal dimensions 1.0 m × 1.0 m (clear inside), with 150 mm thick RCC raft, 150 mm thick RCC walls, and 150 mm thick RCC cover slab, including all necessary miscellaneous works, complete as specified.</t>
  </si>
  <si>
    <t>Nos</t>
  </si>
  <si>
    <t>Earth filling with surplus soil excavated from foundation and taken only from outside of building plinth in 15cm compacted layers, including ramming watering and consolidation, lead up to 30 meters [MoRTH Specification : Clause 301,304].
3.13.1 Ordinary Soil</t>
  </si>
  <si>
    <t>BSR 2024, Item No.3.13.1</t>
  </si>
  <si>
    <t>Amount without GST Rs.</t>
  </si>
  <si>
    <t>GST@18% Rs.</t>
  </si>
  <si>
    <t>Total Amount Inluding 18% GST Rs.</t>
  </si>
  <si>
    <r>
      <rPr>
        <b/>
        <sz val="10"/>
        <rFont val="Poppins"/>
      </rPr>
      <t xml:space="preserve">Excavation for Structures in Hard Rock (Blasting Prohibited) - </t>
    </r>
    <r>
      <rPr>
        <sz val="10"/>
        <rFont val="Poppins"/>
      </rPr>
      <t>Mechanical Means Scope of Work : Excavation in hard rock where blasting is not permitted, performed using mechanical means such as hydraulic breakers, chisels, or rock splitters, as per Clause 301.3.5. The work includes excavation to the required formation level, trimming, and safe disposal. Execution Requirements: 1) Demarcate excavation area and depth per drawings. 2) Break rock using non-blasting methods: hydraulic breakers, splitters, or wedges. 3) Remove unstable shales or other unsuitable material encountered at the formation level. 4) Excavate up to formation level or deeper if required (max 500 mm below as per Clause 301.3.5). 5) Remove loose rock fragments and dress side slopes to design. 6) Dispose excavated rock and debris away from the site or as directed. 7) Maintain slope stability and follow environmental &amp; vibration control measures. Rate Inclusion : Includes cost of all equipment (breakers, splitters, excavators), fuel, operators, dressing, loading, transportation, disposal, site safety, vibration/noise control, and compliance with environmental regulations. Relevant Code / Specifications: MoRTH Clause 301.3.5</t>
    </r>
  </si>
  <si>
    <r>
      <rPr>
        <b/>
        <sz val="10"/>
        <rFont val="Poppins"/>
      </rPr>
      <t>Plain Cement Concrete M-15 Grade in Open Foundation</t>
    </r>
    <r>
      <rPr>
        <sz val="10"/>
        <rFont val="Poppins"/>
      </rPr>
      <t xml:space="preserve">
All charges for supply &amp; placing of Plain Cement Concrete (M-15 grade) in open foundations as per approved drawings and technical specifications, conforming to MoRTH Sections 1500, 1700, and 2200. The concrete shall be batched using a batch mix plant, ensuring uniformity and consistent quality. The mix shall use aggregates of size not exceeding 20 mm, with a workable slump suitable for PCC. Concrete placement shall ensure a free-fall height of less than 1.5 m to prevent segregation, compacted using mechanical vibrators to achieve proper consolidation.
The work includes the preparation of the foundation surface, leveling, placing concrete, and finishing exposed surfaces to achieve the required levels and smoothness. Adequate curing, as per approved methods, shall be carried out for at least 7 days to attain the desired strength. 
The rate shall include all costs associated with labor, material, machinery, batching, transporting, placing, compacting, curing, sampling, testing, and incidental works. Shuttering costs, where required.</t>
    </r>
  </si>
  <si>
    <r>
      <rPr>
        <b/>
        <sz val="10"/>
        <rFont val="Poppins"/>
      </rPr>
      <t>Providing and laying reinforced cement concrete pipes N.P.4 (900 mm Dia)-</t>
    </r>
    <r>
      <rPr>
        <sz val="10"/>
        <rFont val="Poppins"/>
      </rPr>
      <t xml:space="preserve">
Providing and laying reinforced cement concrete pipes N.P.4 for culverts including jointing ends and fixing collar with cement mortar 1:2 [MoRTH Specification : Clause : 1000/2900]
9.15.3- 900 mm Dia</t>
    </r>
  </si>
  <si>
    <r>
      <rPr>
        <b/>
        <sz val="10"/>
        <rFont val="Poppins"/>
      </rPr>
      <t>RCC Grade M30 -</t>
    </r>
    <r>
      <rPr>
        <sz val="10"/>
        <rFont val="Poppins"/>
      </rPr>
      <t xml:space="preserve"> 
All Charge for supply and placing of reinforcement Cement Concrete M-30 Grade With Batching Plant, With Batching Plant, Transit Mixer and Manual placing Reinforced Cement Concrete in Foundation Scope of Work: Construction of Reinforced Cement Concrete (RCC) in open foundation for Culvert. Execution Requirements: 1) Excavation and preparation of foundation bed to required level. 2) Placement of formwork and concrete as per mix design. 3) Use of mechanical vibrators for compaction. 4) Surface finishing and proper curing for a minimum of 7 days. Rate Inclusions: Includes cost of all materials (cement, aggregate where applicable), labour, machinery, formwork, mixing, placing, compacting, finishing, curing, and all safety provisions. Relevant Specification: MoRTH Clause 1700</t>
    </r>
  </si>
  <si>
    <r>
      <rPr>
        <b/>
        <sz val="10"/>
        <rFont val="Poppins"/>
      </rPr>
      <t xml:space="preserve">Reinforcement Steel: </t>
    </r>
    <r>
      <rPr>
        <sz val="10"/>
        <rFont val="Poppins"/>
      </rPr>
      <t xml:space="preserve">
 All charges for providing, cutting, bending, transporting, and tying reinforcement steel of designation TMT FE 500 as per IS 1786 for construction work. The vendor shall supply all necessary steel and 18 gauge black annealed binding wire. Reinforcement steel bars are to be cut, bent, and tied per approved bar bending schedules and structural drawings, ensuring precise dimensions and placements. Steel bars shall be securely tied at all intersections using 18-gauge black annealed binding  wire to maintain stability during concrete placement. Laps shall conform to MoRTH specifications and as directed in drawings,  with no separate payment for laps or overlaps as per MoRTH Clause 1600. Proper clear cover shall be maintained with spacers and chairs as per drawings and CPWD standards. Steel will be measured by weight in kilograms, excluding binding wire and without allowances for overlaps or wastage. The scope of work includes supply, handling, and on-site quality assurance for positioning, alignment, and compliance with specifications and as directed by EIC. Safety measures and quality checks  shall be implemented during all stages, ensuring high-standard reinforcement for structural integrity.  Reinforcement bars from the approved make shall only be used.</t>
    </r>
  </si>
  <si>
    <t>MT</t>
  </si>
  <si>
    <t>Measurement Sheet</t>
  </si>
  <si>
    <t>Description</t>
  </si>
  <si>
    <t>Chainage</t>
  </si>
  <si>
    <t>Side</t>
  </si>
  <si>
    <t>Remark</t>
  </si>
  <si>
    <t>From</t>
  </si>
  <si>
    <t>To</t>
  </si>
  <si>
    <t>No</t>
  </si>
  <si>
    <t>Length</t>
  </si>
  <si>
    <t>Width</t>
  </si>
  <si>
    <t>Height</t>
  </si>
  <si>
    <t>Qty.</t>
  </si>
  <si>
    <t>Excavation</t>
  </si>
  <si>
    <t>RHS</t>
  </si>
  <si>
    <t>CUM</t>
  </si>
  <si>
    <t xml:space="preserve">Total </t>
  </si>
  <si>
    <t>PCC-M15</t>
  </si>
  <si>
    <t>Deduction for Pipe</t>
  </si>
  <si>
    <t xml:space="preserve">Pipe </t>
  </si>
  <si>
    <t>Chamber</t>
  </si>
  <si>
    <t>Total Height of Chamber</t>
  </si>
  <si>
    <t>S No.</t>
  </si>
  <si>
    <t>Quantity</t>
  </si>
  <si>
    <t>Cover</t>
  </si>
  <si>
    <t>PCC</t>
  </si>
  <si>
    <t>M-15</t>
  </si>
  <si>
    <t>Raft</t>
  </si>
  <si>
    <t>M-30</t>
  </si>
  <si>
    <t>Walls</t>
  </si>
  <si>
    <t>Front Face</t>
  </si>
  <si>
    <t>Side Face</t>
  </si>
  <si>
    <t>Deduction</t>
  </si>
  <si>
    <t>Slab</t>
  </si>
  <si>
    <t>Steel</t>
  </si>
  <si>
    <t>Bar Mark</t>
  </si>
  <si>
    <t>Dia</t>
  </si>
  <si>
    <t>Spacing</t>
  </si>
  <si>
    <t>No. of Bars</t>
  </si>
  <si>
    <t>Bend Deduction</t>
  </si>
  <si>
    <t>Unit Weight</t>
  </si>
  <si>
    <t>Total Weight</t>
  </si>
  <si>
    <t>Slab Main Bar</t>
  </si>
  <si>
    <t>Slab Distribution bar</t>
  </si>
  <si>
    <t>Wall Vertical Bar Outer Side</t>
  </si>
  <si>
    <t>Wall Vertical Bar Inner Side</t>
  </si>
  <si>
    <t>Wall Distribution Bars</t>
  </si>
  <si>
    <t>Wall Extra bar</t>
  </si>
  <si>
    <t>6&amp;7</t>
  </si>
  <si>
    <t>Raft Bottom bar &amp; Top bar</t>
  </si>
  <si>
    <t>Raft Distribution bars</t>
  </si>
  <si>
    <t xml:space="preserve">Note: </t>
  </si>
  <si>
    <t>*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</si>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</sst>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
    <numFmt numFmtId="165" formatCode="_ * #,##0_ ;_ * \-#,##0_ ;_ * &quot;-&quot;??_ ;_ @_ "/>
    <numFmt numFmtId="166" formatCode="0\ &quot;x&quot;"/>
    <numFmt numFmtId="167" formatCode="_ * #,##0.000_ ;_ * \-#,##0.000_ ;_ * &quot;-&quot;??_ ;_ @_ "/>
    <numFmt numFmtId="168" formatCode="_(* #,##0.00_);_(* \(#,##0.00\);_(* &quot;-&quot;??_);_(@_)"/>
  </numFmts>
  <fonts count="14" x14ac:knownFonts="1">
    <font>
      <sz val="11"/>
      <color theme="1"/>
      <name val="Aptos Narrow"/>
      <family val="2"/>
      <scheme val="minor"/>
    </font>
    <font>
      <sz val="11"/>
      <color theme="1"/>
      <name val="Aptos Narrow"/>
      <family val="2"/>
      <scheme val="minor"/>
    </font>
    <font>
      <u/>
      <sz val="11"/>
      <color theme="10"/>
      <name val="Aptos Narrow"/>
      <family val="2"/>
      <scheme val="minor"/>
    </font>
    <font>
      <b/>
      <sz val="10"/>
      <color theme="1"/>
      <name val="Poppins"/>
    </font>
    <font>
      <b/>
      <sz val="10"/>
      <name val="Poppins"/>
    </font>
    <font>
      <sz val="10"/>
      <name val="Poppins"/>
    </font>
    <font>
      <sz val="10"/>
      <color theme="1"/>
      <name val="Poppins"/>
    </font>
    <font>
      <b/>
      <sz val="10"/>
      <color rgb="FF000000"/>
      <name val="Poppins"/>
    </font>
    <font>
      <b/>
      <u/>
      <sz val="10"/>
      <color theme="10"/>
      <name val="Poppins"/>
    </font>
    <font>
      <b/>
      <sz val="11"/>
      <color theme="1"/>
      <name val="Poppins"/>
    </font>
    <font>
      <sz val="11"/>
      <color theme="1"/>
      <name val="Poppins"/>
    </font>
    <font>
      <sz val="11"/>
      <color rgb="FF000000"/>
      <name val="Poppins"/>
    </font>
    <font>
      <b/>
      <sz val="11"/>
      <color rgb="FF000000"/>
      <name val="Poppins"/>
    </font>
    <font>
      <b/>
      <sz val="11"/>
      <color theme="1"/>
      <name val="Aptos Narrow"/>
      <family val="2"/>
      <scheme val="minor"/>
    </font>
  </fonts>
  <fills count="6">
    <fill>
      <patternFill patternType="none"/>
    </fill>
    <fill>
      <patternFill patternType="gray125"/>
    </fill>
    <fill>
      <patternFill patternType="solid">
        <fgColor theme="5" tint="0.79995117038483843"/>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20">
    <xf numFmtId="0" fontId="0" fillId="0" borderId="0" xfId="0"/>
    <xf numFmtId="0" fontId="0" fillId="0" borderId="0" xfId="0" applyAlignment="1">
      <alignment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xf numFmtId="0" fontId="6" fillId="0" borderId="0" xfId="0" applyFont="1" applyAlignment="1">
      <alignment vertical="center"/>
    </xf>
    <xf numFmtId="43" fontId="4" fillId="2" borderId="1" xfId="1" applyFont="1" applyFill="1" applyBorder="1" applyAlignment="1">
      <alignment vertical="center"/>
    </xf>
    <xf numFmtId="43" fontId="5" fillId="0" borderId="1" xfId="1" applyFont="1" applyBorder="1" applyAlignment="1">
      <alignment horizontal="center" vertical="center"/>
    </xf>
    <xf numFmtId="43" fontId="4" fillId="0" borderId="1" xfId="1" applyFont="1" applyBorder="1" applyAlignment="1">
      <alignment horizontal="center" vertical="center"/>
    </xf>
    <xf numFmtId="43" fontId="3" fillId="0" borderId="1" xfId="1" applyFont="1" applyBorder="1"/>
    <xf numFmtId="43" fontId="6" fillId="0" borderId="0" xfId="1" applyFont="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3" fontId="9" fillId="0" borderId="1" xfId="1" applyFont="1" applyBorder="1" applyAlignment="1">
      <alignment horizontal="center" vertical="center"/>
    </xf>
    <xf numFmtId="0" fontId="10"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43" fontId="10" fillId="0" borderId="1" xfId="1" applyFont="1" applyBorder="1" applyAlignment="1">
      <alignment horizontal="center" vertical="center"/>
    </xf>
    <xf numFmtId="164" fontId="9" fillId="0" borderId="1" xfId="0" applyNumberFormat="1" applyFont="1" applyBorder="1" applyAlignment="1">
      <alignment horizontal="center" vertical="center"/>
    </xf>
    <xf numFmtId="14" fontId="4" fillId="2" borderId="1" xfId="0" applyNumberFormat="1" applyFont="1" applyFill="1" applyBorder="1" applyAlignment="1">
      <alignment horizontal="center"/>
    </xf>
    <xf numFmtId="43" fontId="4" fillId="2" borderId="1" xfId="1"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xf numFmtId="0" fontId="7" fillId="0" borderId="1" xfId="0" applyFont="1" applyBorder="1" applyAlignment="1">
      <alignment horizontal="right" vertical="center"/>
    </xf>
    <xf numFmtId="0" fontId="3" fillId="0" borderId="1" xfId="0" applyFont="1" applyBorder="1"/>
    <xf numFmtId="0" fontId="6" fillId="0" borderId="1" xfId="0" applyFont="1" applyBorder="1"/>
    <xf numFmtId="0" fontId="10" fillId="0" borderId="0" xfId="0" applyFont="1" applyAlignment="1">
      <alignment horizontal="center" vertical="center"/>
    </xf>
    <xf numFmtId="43" fontId="10" fillId="0" borderId="0" xfId="1"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5" fillId="0" borderId="1" xfId="0" applyFont="1" applyBorder="1" applyAlignment="1">
      <alignment horizontal="left" vertical="center" wrapText="1"/>
    </xf>
    <xf numFmtId="43" fontId="5" fillId="0" borderId="1" xfId="1" applyFont="1" applyFill="1" applyBorder="1" applyAlignment="1">
      <alignment horizontal="center" vertical="center" wrapText="1"/>
    </xf>
    <xf numFmtId="43" fontId="5" fillId="0" borderId="1" xfId="1" applyFont="1" applyFill="1" applyBorder="1" applyAlignment="1">
      <alignment vertical="center"/>
    </xf>
    <xf numFmtId="0" fontId="5" fillId="0" borderId="1" xfId="0" applyFont="1" applyBorder="1" applyAlignment="1">
      <alignment horizontal="center" vertical="center"/>
    </xf>
    <xf numFmtId="43" fontId="5" fillId="0" borderId="1" xfId="1" applyFont="1" applyFill="1" applyBorder="1" applyAlignment="1">
      <alignment horizontal="center" vertical="center"/>
    </xf>
    <xf numFmtId="0" fontId="11" fillId="0" borderId="1" xfId="0" applyFont="1" applyBorder="1" applyAlignment="1">
      <alignment horizontal="center" vertical="center"/>
    </xf>
    <xf numFmtId="43" fontId="11" fillId="0" borderId="1" xfId="1" applyFont="1" applyBorder="1" applyAlignment="1">
      <alignment horizontal="center" vertical="center"/>
    </xf>
    <xf numFmtId="43" fontId="0" fillId="0" borderId="0" xfId="1" applyFont="1"/>
    <xf numFmtId="164" fontId="11" fillId="0" borderId="1" xfId="0" applyNumberFormat="1" applyFont="1" applyBorder="1" applyAlignment="1">
      <alignment horizontal="center" vertical="center"/>
    </xf>
    <xf numFmtId="164" fontId="0" fillId="0" borderId="0" xfId="0" applyNumberFormat="1"/>
    <xf numFmtId="164" fontId="10" fillId="0" borderId="0" xfId="0" applyNumberFormat="1" applyFont="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13" fillId="0" borderId="0" xfId="0" applyFont="1"/>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horizontal="center" vertical="center"/>
    </xf>
    <xf numFmtId="2" fontId="13" fillId="0" borderId="6" xfId="0" applyNumberFormat="1"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164" fontId="0" fillId="0" borderId="6" xfId="0" applyNumberFormat="1" applyBorder="1" applyAlignment="1">
      <alignment horizontal="center" vertical="center"/>
    </xf>
    <xf numFmtId="43" fontId="0" fillId="0" borderId="0" xfId="0" applyNumberFormat="1"/>
    <xf numFmtId="165" fontId="0" fillId="0" borderId="0" xfId="0" applyNumberFormat="1"/>
    <xf numFmtId="43" fontId="0" fillId="0" borderId="1" xfId="0" applyNumberFormat="1" applyBorder="1" applyAlignment="1">
      <alignment horizontal="center"/>
    </xf>
    <xf numFmtId="43" fontId="13" fillId="0" borderId="0" xfId="0" applyNumberFormat="1" applyFont="1"/>
    <xf numFmtId="166" fontId="0" fillId="0" borderId="1" xfId="0" applyNumberForma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64" fontId="0" fillId="3" borderId="1" xfId="0" applyNumberFormat="1" applyFill="1" applyBorder="1" applyAlignment="1">
      <alignment horizontal="center" vertical="center"/>
    </xf>
    <xf numFmtId="43" fontId="9" fillId="3" borderId="1" xfId="1" applyFont="1" applyFill="1" applyBorder="1" applyAlignment="1">
      <alignment horizontal="center" vertical="center"/>
    </xf>
    <xf numFmtId="0" fontId="5" fillId="0" borderId="1"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167" fontId="5" fillId="0" borderId="1" xfId="1" applyNumberFormat="1" applyFont="1" applyFill="1" applyBorder="1" applyAlignment="1">
      <alignment horizontal="center" vertical="center"/>
    </xf>
    <xf numFmtId="0" fontId="9" fillId="0" borderId="0" xfId="0" applyFont="1" applyAlignment="1">
      <alignment horizontal="left" vertical="center"/>
    </xf>
    <xf numFmtId="0" fontId="10" fillId="0" borderId="0" xfId="0" applyFont="1" applyAlignment="1">
      <alignment vertical="center"/>
    </xf>
    <xf numFmtId="168" fontId="10" fillId="0" borderId="0" xfId="0" applyNumberFormat="1" applyFont="1" applyAlignment="1">
      <alignment vertical="center"/>
    </xf>
    <xf numFmtId="0" fontId="10" fillId="0" borderId="0" xfId="0" applyFont="1" applyAlignment="1">
      <alignment vertical="center" wrapText="1"/>
    </xf>
    <xf numFmtId="43" fontId="10" fillId="0" borderId="0" xfId="1" applyFont="1" applyAlignment="1">
      <alignment vertical="center"/>
    </xf>
    <xf numFmtId="0" fontId="9" fillId="4" borderId="2" xfId="0" applyFont="1" applyFill="1" applyBorder="1" applyAlignment="1">
      <alignment horizontal="center" vertical="center"/>
    </xf>
    <xf numFmtId="0" fontId="9" fillId="4" borderId="1" xfId="0" applyFont="1" applyFill="1" applyBorder="1" applyAlignment="1">
      <alignment vertical="center" wrapText="1"/>
    </xf>
    <xf numFmtId="0" fontId="9" fillId="4" borderId="1" xfId="0" applyFont="1" applyFill="1" applyBorder="1" applyAlignment="1">
      <alignment vertical="center"/>
    </xf>
    <xf numFmtId="164" fontId="9" fillId="4" borderId="1" xfId="0" applyNumberFormat="1" applyFont="1" applyFill="1" applyBorder="1" applyAlignment="1">
      <alignment vertical="center"/>
    </xf>
    <xf numFmtId="43" fontId="9" fillId="4" borderId="2" xfId="1" applyFont="1" applyFill="1" applyBorder="1" applyAlignment="1">
      <alignment vertical="center"/>
    </xf>
    <xf numFmtId="43" fontId="9" fillId="4" borderId="3" xfId="1" applyFont="1" applyFill="1" applyBorder="1" applyAlignment="1">
      <alignment vertical="center"/>
    </xf>
    <xf numFmtId="43" fontId="9" fillId="4" borderId="4" xfId="1" applyFont="1" applyFill="1" applyBorder="1" applyAlignment="1">
      <alignment vertical="center"/>
    </xf>
    <xf numFmtId="0" fontId="12"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164" fontId="12" fillId="5" borderId="1" xfId="0" applyNumberFormat="1" applyFont="1" applyFill="1" applyBorder="1" applyAlignment="1">
      <alignment horizontal="center" vertical="center"/>
    </xf>
    <xf numFmtId="43" fontId="12" fillId="5" borderId="1" xfId="1" applyFont="1" applyFill="1" applyBorder="1" applyAlignment="1">
      <alignment horizontal="center" vertical="center"/>
    </xf>
    <xf numFmtId="0" fontId="11" fillId="5" borderId="1" xfId="0" applyFont="1" applyFill="1" applyBorder="1" applyAlignment="1">
      <alignment horizontal="center" vertical="center"/>
    </xf>
    <xf numFmtId="0" fontId="0" fillId="0" borderId="0" xfId="0" applyAlignment="1">
      <alignment horizontal="right" wrapText="1"/>
    </xf>
    <xf numFmtId="0" fontId="4" fillId="4" borderId="1" xfId="0" applyFont="1" applyFill="1" applyBorder="1" applyAlignment="1">
      <alignment horizontal="center" vertical="center" wrapText="1"/>
    </xf>
    <xf numFmtId="43" fontId="4" fillId="4" borderId="1" xfId="1" applyFont="1" applyFill="1" applyBorder="1" applyAlignment="1">
      <alignment horizontal="center" vertical="center" wrapText="1"/>
    </xf>
    <xf numFmtId="43" fontId="4" fillId="4" borderId="1" xfId="1" applyFont="1" applyFill="1" applyBorder="1" applyAlignment="1">
      <alignment vertical="center"/>
    </xf>
    <xf numFmtId="0" fontId="4" fillId="4"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3" fillId="4" borderId="1" xfId="0" applyFont="1" applyFill="1" applyBorder="1" applyAlignment="1">
      <alignment horizontal="center" vertical="center"/>
    </xf>
    <xf numFmtId="0" fontId="3" fillId="0" borderId="1" xfId="0" applyFont="1" applyBorder="1" applyAlignment="1">
      <alignment horizontal="right" vertical="top"/>
    </xf>
    <xf numFmtId="0" fontId="8" fillId="0" borderId="1" xfId="2" applyFont="1" applyBorder="1" applyAlignment="1">
      <alignment horizontal="right" vertical="center"/>
    </xf>
    <xf numFmtId="0" fontId="3" fillId="0" borderId="1" xfId="0" applyFont="1" applyBorder="1" applyAlignment="1">
      <alignment horizontal="righ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3" fillId="2" borderId="1" xfId="0" applyFont="1" applyFill="1" applyBorder="1" applyAlignment="1">
      <alignment horizontal="center"/>
    </xf>
    <xf numFmtId="0" fontId="4" fillId="2" borderId="1" xfId="0" applyFont="1" applyFill="1" applyBorder="1" applyAlignment="1">
      <alignment horizont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 xfId="0"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165937</xdr:colOff>
      <xdr:row>0</xdr:row>
      <xdr:rowOff>187778</xdr:rowOff>
    </xdr:from>
    <xdr:to>
      <xdr:col>8</xdr:col>
      <xdr:colOff>582850</xdr:colOff>
      <xdr:row>25</xdr:row>
      <xdr:rowOff>48985</xdr:rowOff>
    </xdr:to>
    <xdr:pic>
      <xdr:nvPicPr>
        <xdr:cNvPr id="3" name="Picture 2">
          <a:extLst>
            <a:ext uri="{FF2B5EF4-FFF2-40B4-BE49-F238E27FC236}">
              <a16:creationId xmlns:a16="http://schemas.microsoft.com/office/drawing/2014/main" id="{EAA7F9EF-19F0-ABB6-E969-F46053F72C20}"/>
            </a:ext>
          </a:extLst>
        </xdr:cNvPr>
        <xdr:cNvPicPr>
          <a:picLocks noChangeAspect="1"/>
        </xdr:cNvPicPr>
      </xdr:nvPicPr>
      <xdr:blipFill>
        <a:blip xmlns:r="http://schemas.openxmlformats.org/officeDocument/2006/relationships" r:embed="rId1"/>
        <a:stretch>
          <a:fillRect/>
        </a:stretch>
      </xdr:blipFill>
      <xdr:spPr>
        <a:xfrm>
          <a:off x="165937" y="187778"/>
          <a:ext cx="5642056" cy="45556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GST@18%25%20R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ST@18%25%20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A8E6-B369-4A94-ADD4-86D647DE9CEB}">
  <dimension ref="A1:K11"/>
  <sheetViews>
    <sheetView zoomScale="85" zoomScaleNormal="85" workbookViewId="0">
      <pane ySplit="3" topLeftCell="A4" activePane="bottomLeft" state="frozen"/>
      <selection pane="bottomLeft" activeCell="E4" sqref="E4"/>
    </sheetView>
  </sheetViews>
  <sheetFormatPr defaultRowHeight="19.95" x14ac:dyDescent="0.65"/>
  <cols>
    <col min="1" max="1" width="5.44140625" style="4" bestFit="1" customWidth="1"/>
    <col min="2" max="2" width="59.109375" style="5" customWidth="1"/>
    <col min="3" max="3" width="5.44140625" style="4" bestFit="1" customWidth="1"/>
    <col min="4" max="4" width="9.5546875" style="10" bestFit="1" customWidth="1"/>
    <col min="5" max="5" width="9.88671875" style="10" bestFit="1" customWidth="1"/>
    <col min="6" max="6" width="16.6640625" style="10" bestFit="1" customWidth="1"/>
    <col min="7" max="7" width="17.109375" style="4" bestFit="1" customWidth="1"/>
    <col min="8" max="8" width="36.88671875" style="29" customWidth="1"/>
    <col min="9" max="9" width="10" customWidth="1"/>
    <col min="10" max="10" width="10.109375" customWidth="1"/>
    <col min="11" max="11" width="48.109375" customWidth="1"/>
  </cols>
  <sheetData>
    <row r="1" spans="1:11" x14ac:dyDescent="0.65">
      <c r="A1" s="99" t="s">
        <v>0</v>
      </c>
      <c r="B1" s="99"/>
      <c r="C1" s="99"/>
      <c r="D1" s="99"/>
      <c r="E1" s="99"/>
      <c r="F1" s="99"/>
      <c r="G1" s="99"/>
    </row>
    <row r="2" spans="1:11" x14ac:dyDescent="0.65">
      <c r="A2" s="100" t="s">
        <v>1</v>
      </c>
      <c r="B2" s="100"/>
      <c r="C2" s="100"/>
      <c r="D2" s="100"/>
      <c r="E2" s="100"/>
      <c r="F2" s="100"/>
      <c r="G2" s="19"/>
    </row>
    <row r="3" spans="1:11" x14ac:dyDescent="0.3">
      <c r="A3" s="2" t="s">
        <v>2</v>
      </c>
      <c r="B3" s="2" t="s">
        <v>3</v>
      </c>
      <c r="C3" s="2" t="s">
        <v>4</v>
      </c>
      <c r="D3" s="20" t="s">
        <v>5</v>
      </c>
      <c r="E3" s="6" t="s">
        <v>6</v>
      </c>
      <c r="F3" s="6" t="s">
        <v>7</v>
      </c>
      <c r="G3" s="21" t="s">
        <v>8</v>
      </c>
    </row>
    <row r="4" spans="1:11" ht="139.5" x14ac:dyDescent="0.3">
      <c r="A4" s="3">
        <v>1</v>
      </c>
      <c r="B4" s="31" t="s">
        <v>9</v>
      </c>
      <c r="C4" s="3" t="s">
        <v>10</v>
      </c>
      <c r="D4" s="32">
        <f>Measurement!K8</f>
        <v>2167.4999999997681</v>
      </c>
      <c r="E4" s="33">
        <v>440</v>
      </c>
      <c r="F4" s="7">
        <f>D4*E4</f>
        <v>953699.9999998979</v>
      </c>
      <c r="G4" s="22" t="s">
        <v>11</v>
      </c>
      <c r="H4" s="30"/>
      <c r="K4" s="1"/>
    </row>
    <row r="5" spans="1:11" ht="39.9" x14ac:dyDescent="0.3">
      <c r="A5" s="3">
        <v>2</v>
      </c>
      <c r="B5" s="31" t="s">
        <v>12</v>
      </c>
      <c r="C5" s="3" t="s">
        <v>10</v>
      </c>
      <c r="D5" s="32">
        <f>Measurement!K17</f>
        <v>1104.7179889456063</v>
      </c>
      <c r="E5" s="33">
        <v>4402</v>
      </c>
      <c r="F5" s="7">
        <f>D5*E5</f>
        <v>4862968.5873385593</v>
      </c>
      <c r="G5" s="22" t="s">
        <v>13</v>
      </c>
    </row>
    <row r="6" spans="1:11" ht="79.75" x14ac:dyDescent="0.3">
      <c r="A6" s="3">
        <v>3</v>
      </c>
      <c r="B6" s="22" t="s">
        <v>14</v>
      </c>
      <c r="C6" s="34" t="s">
        <v>15</v>
      </c>
      <c r="D6" s="35">
        <f>Measurement!K22</f>
        <v>849.99999999990905</v>
      </c>
      <c r="E6" s="35">
        <v>7972</v>
      </c>
      <c r="F6" s="7">
        <f>D6*E6</f>
        <v>6776199.9999992745</v>
      </c>
      <c r="G6" s="22" t="s">
        <v>16</v>
      </c>
    </row>
    <row r="7" spans="1:11" ht="99.65" x14ac:dyDescent="0.3">
      <c r="A7" s="3">
        <v>4</v>
      </c>
      <c r="B7" s="22" t="s">
        <v>17</v>
      </c>
      <c r="C7" s="34" t="s">
        <v>18</v>
      </c>
      <c r="D7" s="35">
        <f>Measurement!K27</f>
        <v>42</v>
      </c>
      <c r="E7" s="35">
        <v>6500</v>
      </c>
      <c r="F7" s="7">
        <f>D7*E7</f>
        <v>273000</v>
      </c>
      <c r="G7" s="22"/>
    </row>
    <row r="8" spans="1:11" ht="99.65" x14ac:dyDescent="0.3">
      <c r="A8" s="3">
        <v>5</v>
      </c>
      <c r="B8" s="22" t="s">
        <v>19</v>
      </c>
      <c r="C8" s="3" t="s">
        <v>10</v>
      </c>
      <c r="D8" s="35" t="e">
        <f>Measurement!#REF!</f>
        <v>#REF!</v>
      </c>
      <c r="E8" s="35">
        <v>107</v>
      </c>
      <c r="F8" s="7" t="e">
        <f>D8*E8</f>
        <v>#REF!</v>
      </c>
      <c r="G8" s="22" t="s">
        <v>20</v>
      </c>
    </row>
    <row r="9" spans="1:11" x14ac:dyDescent="0.65">
      <c r="A9" s="24"/>
      <c r="B9" s="95" t="s">
        <v>21</v>
      </c>
      <c r="C9" s="95"/>
      <c r="D9" s="95"/>
      <c r="E9" s="95"/>
      <c r="F9" s="8" t="e">
        <f>SUM(F4:F8)</f>
        <v>#REF!</v>
      </c>
      <c r="G9" s="23"/>
    </row>
    <row r="10" spans="1:11" x14ac:dyDescent="0.65">
      <c r="A10" s="25"/>
      <c r="B10" s="94" t="s">
        <v>22</v>
      </c>
      <c r="C10" s="95"/>
      <c r="D10" s="95"/>
      <c r="E10" s="95"/>
      <c r="F10" s="9" t="e">
        <f>F9*18%</f>
        <v>#REF!</v>
      </c>
      <c r="G10" s="26"/>
    </row>
    <row r="11" spans="1:11" x14ac:dyDescent="0.65">
      <c r="A11" s="25"/>
      <c r="B11" s="95" t="s">
        <v>23</v>
      </c>
      <c r="C11" s="95"/>
      <c r="D11" s="95"/>
      <c r="E11" s="95"/>
      <c r="F11" s="9" t="e">
        <f>F10+F9</f>
        <v>#REF!</v>
      </c>
      <c r="G11" s="26"/>
    </row>
  </sheetData>
  <mergeCells count="5">
    <mergeCell ref="B9:E9"/>
    <mergeCell ref="B10:E10"/>
    <mergeCell ref="B11:E11"/>
    <mergeCell ref="A1:G1"/>
    <mergeCell ref="A2:F2"/>
  </mergeCells>
  <hyperlinks>
    <hyperlink ref="B10" r:id="rId1" xr:uid="{17DB5DF2-30AD-4F3F-9272-F30D0E05A4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D18F-FC56-4CCC-BD27-F6248682E09F}">
  <sheetPr>
    <pageSetUpPr fitToPage="1"/>
  </sheetPr>
  <dimension ref="A1:K17"/>
  <sheetViews>
    <sheetView tabSelected="1" view="pageBreakPreview" zoomScale="85" zoomScaleNormal="85" zoomScaleSheetLayoutView="85" workbookViewId="0">
      <pane ySplit="3" topLeftCell="A4" activePane="bottomLeft" state="frozen"/>
      <selection pane="bottomLeft" activeCell="A4" sqref="A4"/>
    </sheetView>
  </sheetViews>
  <sheetFormatPr defaultRowHeight="19.95" x14ac:dyDescent="0.65"/>
  <cols>
    <col min="1" max="1" width="5.44140625" style="4" bestFit="1" customWidth="1"/>
    <col min="2" max="2" width="82.5546875" style="5" customWidth="1"/>
    <col min="3" max="3" width="12.5546875" style="4" customWidth="1"/>
    <col min="4" max="4" width="9.5546875" style="10" bestFit="1" customWidth="1"/>
    <col min="5" max="5" width="11.109375" style="10" bestFit="1" customWidth="1"/>
    <col min="6" max="6" width="17.44140625" style="10" bestFit="1" customWidth="1"/>
    <col min="7" max="7" width="17.109375" style="66" bestFit="1" customWidth="1"/>
    <col min="8" max="8" width="36.88671875" style="29" customWidth="1"/>
    <col min="9" max="9" width="10" customWidth="1"/>
    <col min="10" max="10" width="10.109375" customWidth="1"/>
    <col min="11" max="11" width="48.109375" customWidth="1"/>
  </cols>
  <sheetData>
    <row r="1" spans="1:11" x14ac:dyDescent="0.3">
      <c r="A1" s="92" t="s">
        <v>0</v>
      </c>
      <c r="B1" s="92"/>
      <c r="C1" s="92"/>
      <c r="D1" s="92"/>
      <c r="E1" s="92"/>
      <c r="F1" s="92"/>
      <c r="G1" s="92"/>
    </row>
    <row r="2" spans="1:11" x14ac:dyDescent="0.3">
      <c r="A2" s="96" t="s">
        <v>1</v>
      </c>
      <c r="B2" s="97"/>
      <c r="C2" s="97"/>
      <c r="D2" s="97"/>
      <c r="E2" s="97"/>
      <c r="F2" s="97"/>
      <c r="G2" s="98"/>
    </row>
    <row r="3" spans="1:11" x14ac:dyDescent="0.3">
      <c r="A3" s="86" t="s">
        <v>2</v>
      </c>
      <c r="B3" s="86" t="s">
        <v>3</v>
      </c>
      <c r="C3" s="86" t="s">
        <v>4</v>
      </c>
      <c r="D3" s="87" t="s">
        <v>5</v>
      </c>
      <c r="E3" s="88" t="s">
        <v>6</v>
      </c>
      <c r="F3" s="88" t="s">
        <v>7</v>
      </c>
      <c r="G3" s="89" t="s">
        <v>8</v>
      </c>
    </row>
    <row r="4" spans="1:11" ht="279" x14ac:dyDescent="0.3">
      <c r="A4" s="3">
        <v>1</v>
      </c>
      <c r="B4" s="61" t="s">
        <v>24</v>
      </c>
      <c r="C4" s="3" t="s">
        <v>10</v>
      </c>
      <c r="D4" s="32">
        <f>Measurement!K8</f>
        <v>2167.4999999997681</v>
      </c>
      <c r="E4" s="33"/>
      <c r="F4" s="35">
        <f>D4*E4</f>
        <v>0</v>
      </c>
      <c r="G4" s="3"/>
      <c r="H4" s="30"/>
      <c r="K4" s="1"/>
    </row>
    <row r="5" spans="1:11" ht="298.95" x14ac:dyDescent="0.3">
      <c r="A5" s="3">
        <v>2</v>
      </c>
      <c r="B5" s="22" t="s">
        <v>25</v>
      </c>
      <c r="C5" s="3" t="s">
        <v>10</v>
      </c>
      <c r="D5" s="32">
        <f>Measurement!K17+'Chamber Calc'!I6</f>
        <v>1121.5179889456062</v>
      </c>
      <c r="E5" s="33"/>
      <c r="F5" s="7">
        <f>D5*E5</f>
        <v>0</v>
      </c>
      <c r="G5" s="3"/>
    </row>
    <row r="6" spans="1:11" ht="79.75" x14ac:dyDescent="0.3">
      <c r="A6" s="3">
        <v>3</v>
      </c>
      <c r="B6" s="22" t="s">
        <v>26</v>
      </c>
      <c r="C6" s="34" t="s">
        <v>15</v>
      </c>
      <c r="D6" s="35">
        <f>Measurement!K22</f>
        <v>849.99999999990905</v>
      </c>
      <c r="E6" s="35"/>
      <c r="F6" s="7">
        <f>D6*E6</f>
        <v>0</v>
      </c>
      <c r="G6" s="3"/>
    </row>
    <row r="7" spans="1:11" ht="219.25" x14ac:dyDescent="0.3">
      <c r="A7" s="3">
        <v>4</v>
      </c>
      <c r="B7" s="60" t="s">
        <v>27</v>
      </c>
      <c r="C7" s="3" t="s">
        <v>10</v>
      </c>
      <c r="D7" s="67">
        <f>SUM('Chamber Calc'!I7:I12)</f>
        <v>166.22763920168501</v>
      </c>
      <c r="E7" s="35"/>
      <c r="F7" s="7">
        <f>D7*E7</f>
        <v>0</v>
      </c>
      <c r="G7" s="3"/>
    </row>
    <row r="8" spans="1:11" ht="318.89999999999998" x14ac:dyDescent="0.3">
      <c r="A8" s="3">
        <v>5</v>
      </c>
      <c r="B8" s="22" t="s">
        <v>28</v>
      </c>
      <c r="C8" s="34" t="s">
        <v>29</v>
      </c>
      <c r="D8" s="67">
        <f>'Chamber Calc'!I13</f>
        <v>11.487997629629628</v>
      </c>
      <c r="E8" s="35"/>
      <c r="F8" s="7">
        <f>D8*E8</f>
        <v>0</v>
      </c>
      <c r="G8" s="3"/>
    </row>
    <row r="9" spans="1:11" x14ac:dyDescent="0.65">
      <c r="A9" s="24"/>
      <c r="B9" s="93" t="s">
        <v>21</v>
      </c>
      <c r="C9" s="93"/>
      <c r="D9" s="93"/>
      <c r="E9" s="93"/>
      <c r="F9" s="8">
        <f>SUM(F4:F8)</f>
        <v>0</v>
      </c>
      <c r="G9" s="64"/>
    </row>
    <row r="10" spans="1:11" x14ac:dyDescent="0.65">
      <c r="A10" s="25"/>
      <c r="B10" s="94" t="s">
        <v>22</v>
      </c>
      <c r="C10" s="95"/>
      <c r="D10" s="95"/>
      <c r="E10" s="95"/>
      <c r="F10" s="9">
        <f>F9*18%</f>
        <v>0</v>
      </c>
      <c r="G10" s="65"/>
    </row>
    <row r="11" spans="1:11" x14ac:dyDescent="0.65">
      <c r="A11" s="25"/>
      <c r="B11" s="95" t="s">
        <v>23</v>
      </c>
      <c r="C11" s="95"/>
      <c r="D11" s="95"/>
      <c r="E11" s="95"/>
      <c r="F11" s="9">
        <f>F10+F9</f>
        <v>0</v>
      </c>
      <c r="G11" s="65"/>
    </row>
    <row r="13" spans="1:11" ht="21.25" x14ac:dyDescent="0.65">
      <c r="A13" s="90" t="s">
        <v>80</v>
      </c>
      <c r="B13" s="90"/>
      <c r="C13" s="90"/>
      <c r="D13" s="90"/>
      <c r="E13" s="69"/>
      <c r="F13" s="70"/>
    </row>
    <row r="14" spans="1:11" ht="21.25" x14ac:dyDescent="0.65">
      <c r="A14" s="68" t="s">
        <v>81</v>
      </c>
      <c r="B14" s="71"/>
      <c r="C14" s="27"/>
      <c r="D14" s="72"/>
      <c r="E14" s="69"/>
      <c r="F14" s="69"/>
    </row>
    <row r="15" spans="1:11" x14ac:dyDescent="0.65">
      <c r="A15" s="91" t="s">
        <v>82</v>
      </c>
      <c r="B15" s="91"/>
      <c r="C15" s="91"/>
      <c r="D15" s="91"/>
      <c r="E15" s="91"/>
      <c r="F15" s="91"/>
    </row>
    <row r="16" spans="1:11" x14ac:dyDescent="0.65">
      <c r="A16" s="91"/>
      <c r="B16" s="91"/>
      <c r="C16" s="91"/>
      <c r="D16" s="91"/>
      <c r="E16" s="91"/>
      <c r="F16" s="91"/>
    </row>
    <row r="17" spans="1:6" x14ac:dyDescent="0.65">
      <c r="A17" s="91"/>
      <c r="B17" s="91"/>
      <c r="C17" s="91"/>
      <c r="D17" s="91"/>
      <c r="E17" s="91"/>
      <c r="F17" s="91"/>
    </row>
  </sheetData>
  <mergeCells count="7">
    <mergeCell ref="A13:D13"/>
    <mergeCell ref="A15:F17"/>
    <mergeCell ref="A1:G1"/>
    <mergeCell ref="B9:E9"/>
    <mergeCell ref="B10:E10"/>
    <mergeCell ref="B11:E11"/>
    <mergeCell ref="A2:G2"/>
  </mergeCells>
  <hyperlinks>
    <hyperlink ref="B10" r:id="rId1" xr:uid="{0226517F-5217-49D5-9FE9-38B3B6CE5F28}"/>
  </hyperlinks>
  <printOptions horizontalCentered="1"/>
  <pageMargins left="0.70866141732283472" right="0.70866141732283472" top="0.74803149606299213" bottom="0.74803149606299213" header="0.31496062992125984" footer="0.31496062992125984"/>
  <pageSetup scale="76" fitToHeight="3" orientation="landscape" r:id="rId2"/>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41AB-C394-4F0F-B5A2-2FA9AE18A7B2}">
  <sheetPr>
    <pageSetUpPr fitToPage="1"/>
  </sheetPr>
  <dimension ref="A1:Q33"/>
  <sheetViews>
    <sheetView view="pageBreakPreview" zoomScaleNormal="85" zoomScaleSheetLayoutView="100" workbookViewId="0">
      <pane xSplit="7" ySplit="2" topLeftCell="H3" activePane="bottomRight" state="frozen"/>
      <selection pane="topRight" activeCell="H1" sqref="H1"/>
      <selection pane="bottomLeft" activeCell="A3" sqref="A3"/>
      <selection pane="bottomRight" sqref="A1:L2"/>
    </sheetView>
  </sheetViews>
  <sheetFormatPr defaultRowHeight="21.25" x14ac:dyDescent="0.3"/>
  <cols>
    <col min="1" max="1" width="5.5546875" style="27" bestFit="1" customWidth="1"/>
    <col min="2" max="2" width="24.44140625" style="27" customWidth="1"/>
    <col min="3" max="3" width="9.6640625" style="41" bestFit="1" customWidth="1"/>
    <col min="4" max="4" width="9.5546875" style="41" bestFit="1" customWidth="1"/>
    <col min="5" max="5" width="5.5546875" style="27" bestFit="1" customWidth="1"/>
    <col min="6" max="6" width="5.88671875" style="27" bestFit="1" customWidth="1"/>
    <col min="7" max="7" width="8.5546875" style="27" bestFit="1" customWidth="1"/>
    <col min="8" max="8" width="9.5546875" style="28" bestFit="1" customWidth="1"/>
    <col min="9" max="9" width="8.6640625" style="28" bestFit="1" customWidth="1"/>
    <col min="10" max="10" width="9.44140625" style="28" bestFit="1" customWidth="1"/>
    <col min="11" max="11" width="11.5546875" style="28" bestFit="1" customWidth="1"/>
    <col min="12" max="12" width="25.44140625" style="27" bestFit="1" customWidth="1"/>
    <col min="13" max="13" width="8.88671875" customWidth="1"/>
    <col min="14" max="14" width="9.33203125" customWidth="1"/>
    <col min="15" max="15" width="8.6640625" customWidth="1"/>
    <col min="16" max="17" width="8.88671875" hidden="1" customWidth="1"/>
  </cols>
  <sheetData>
    <row r="1" spans="1:14" x14ac:dyDescent="0.3">
      <c r="A1" s="101" t="s">
        <v>30</v>
      </c>
      <c r="B1" s="102"/>
      <c r="C1" s="102"/>
      <c r="D1" s="102"/>
      <c r="E1" s="102"/>
      <c r="F1" s="102"/>
      <c r="G1" s="102"/>
      <c r="H1" s="102"/>
      <c r="I1" s="102"/>
      <c r="J1" s="102"/>
      <c r="K1" s="102"/>
      <c r="L1" s="103"/>
    </row>
    <row r="2" spans="1:14" x14ac:dyDescent="0.3">
      <c r="A2" s="74" t="s">
        <v>2</v>
      </c>
      <c r="B2" s="75" t="s">
        <v>31</v>
      </c>
      <c r="C2" s="76" t="s">
        <v>32</v>
      </c>
      <c r="D2" s="76"/>
      <c r="E2" s="75" t="s">
        <v>33</v>
      </c>
      <c r="F2" s="75" t="s">
        <v>4</v>
      </c>
      <c r="G2" s="73"/>
      <c r="H2" s="77"/>
      <c r="I2" s="78"/>
      <c r="J2" s="78"/>
      <c r="K2" s="79"/>
      <c r="L2" s="75" t="s">
        <v>34</v>
      </c>
    </row>
    <row r="3" spans="1:14" x14ac:dyDescent="0.3">
      <c r="A3" s="43"/>
      <c r="B3" s="42"/>
      <c r="C3" s="18" t="s">
        <v>35</v>
      </c>
      <c r="D3" s="18" t="s">
        <v>36</v>
      </c>
      <c r="E3" s="42"/>
      <c r="F3" s="42"/>
      <c r="G3" s="11" t="s">
        <v>37</v>
      </c>
      <c r="H3" s="13" t="s">
        <v>38</v>
      </c>
      <c r="I3" s="13" t="s">
        <v>39</v>
      </c>
      <c r="J3" s="13" t="s">
        <v>40</v>
      </c>
      <c r="K3" s="13" t="s">
        <v>41</v>
      </c>
      <c r="L3" s="42"/>
    </row>
    <row r="4" spans="1:14" x14ac:dyDescent="0.3">
      <c r="A4" s="106">
        <v>1</v>
      </c>
      <c r="B4" s="104" t="s">
        <v>42</v>
      </c>
      <c r="C4" s="15">
        <v>1000.9</v>
      </c>
      <c r="D4" s="15">
        <v>1001.4</v>
      </c>
      <c r="E4" s="15" t="s">
        <v>43</v>
      </c>
      <c r="F4" s="14" t="s">
        <v>44</v>
      </c>
      <c r="G4" s="14">
        <v>1</v>
      </c>
      <c r="H4" s="17">
        <f>(D4-C4)*1000</f>
        <v>500</v>
      </c>
      <c r="I4" s="17">
        <f>1.5+0.1*2</f>
        <v>1.7</v>
      </c>
      <c r="J4" s="17">
        <v>1.5</v>
      </c>
      <c r="K4" s="17">
        <f>PRODUCT(G4:J4)</f>
        <v>1275</v>
      </c>
      <c r="L4" s="11"/>
    </row>
    <row r="5" spans="1:14" x14ac:dyDescent="0.3">
      <c r="A5" s="107"/>
      <c r="B5" s="105"/>
      <c r="C5" s="15">
        <v>1001.4</v>
      </c>
      <c r="D5" s="15">
        <v>1001.55</v>
      </c>
      <c r="E5" s="15" t="s">
        <v>43</v>
      </c>
      <c r="F5" s="14" t="s">
        <v>44</v>
      </c>
      <c r="G5" s="14">
        <v>1</v>
      </c>
      <c r="H5" s="17">
        <f>(D5-C5)*1000</f>
        <v>149.99999999997726</v>
      </c>
      <c r="I5" s="17">
        <f t="shared" ref="I5:I7" si="0">1.5+0.1*2</f>
        <v>1.7</v>
      </c>
      <c r="J5" s="17">
        <v>1.5</v>
      </c>
      <c r="K5" s="17">
        <f t="shared" ref="K5:K7" si="1">PRODUCT(G5:J5)</f>
        <v>382.49999999994202</v>
      </c>
      <c r="L5" s="14"/>
    </row>
    <row r="6" spans="1:14" x14ac:dyDescent="0.3">
      <c r="A6" s="107"/>
      <c r="B6" s="105"/>
      <c r="C6" s="15">
        <v>1002.1</v>
      </c>
      <c r="D6" s="15">
        <v>1002.2</v>
      </c>
      <c r="E6" s="15" t="s">
        <v>43</v>
      </c>
      <c r="F6" s="14" t="s">
        <v>44</v>
      </c>
      <c r="G6" s="14">
        <v>1</v>
      </c>
      <c r="H6" s="17">
        <f>(D6-C6)*1000</f>
        <v>100.00000000002274</v>
      </c>
      <c r="I6" s="17">
        <f t="shared" si="0"/>
        <v>1.7</v>
      </c>
      <c r="J6" s="17">
        <v>1.5</v>
      </c>
      <c r="K6" s="17">
        <f t="shared" si="1"/>
        <v>255.00000000005798</v>
      </c>
      <c r="L6" s="14"/>
    </row>
    <row r="7" spans="1:14" x14ac:dyDescent="0.3">
      <c r="A7" s="114"/>
      <c r="B7" s="115"/>
      <c r="C7" s="15">
        <v>1002.2</v>
      </c>
      <c r="D7" s="15">
        <v>1002.3</v>
      </c>
      <c r="E7" s="15" t="s">
        <v>43</v>
      </c>
      <c r="F7" s="14" t="s">
        <v>44</v>
      </c>
      <c r="G7" s="14">
        <v>1</v>
      </c>
      <c r="H7" s="17">
        <f>(D7-C7)*1000</f>
        <v>99.999999999909051</v>
      </c>
      <c r="I7" s="17">
        <f t="shared" si="0"/>
        <v>1.7</v>
      </c>
      <c r="J7" s="17">
        <v>1.5</v>
      </c>
      <c r="K7" s="17">
        <f t="shared" si="1"/>
        <v>254.99999999976808</v>
      </c>
      <c r="L7" s="14"/>
    </row>
    <row r="8" spans="1:14" x14ac:dyDescent="0.3">
      <c r="A8" s="11"/>
      <c r="B8" s="12"/>
      <c r="C8" s="18"/>
      <c r="D8" s="18"/>
      <c r="E8" s="18"/>
      <c r="F8" s="11"/>
      <c r="G8" s="11"/>
      <c r="H8" s="13"/>
      <c r="J8" s="13" t="s">
        <v>45</v>
      </c>
      <c r="K8" s="63">
        <f>SUM(K4:K7)</f>
        <v>2167.4999999997681</v>
      </c>
      <c r="L8" s="14"/>
      <c r="N8" s="55">
        <f>K8</f>
        <v>2167.4999999997681</v>
      </c>
    </row>
    <row r="9" spans="1:14" x14ac:dyDescent="0.3">
      <c r="A9" s="106">
        <v>2</v>
      </c>
      <c r="B9" s="104" t="s">
        <v>46</v>
      </c>
      <c r="C9" s="15">
        <v>1000.9</v>
      </c>
      <c r="D9" s="15">
        <v>1001.4</v>
      </c>
      <c r="E9" s="15" t="s">
        <v>43</v>
      </c>
      <c r="F9" s="14" t="s">
        <v>44</v>
      </c>
      <c r="G9" s="14">
        <v>1</v>
      </c>
      <c r="H9" s="17">
        <f t="shared" ref="H9:H16" si="2">(D9-C9)*1000</f>
        <v>500</v>
      </c>
      <c r="I9" s="17">
        <v>1.5</v>
      </c>
      <c r="J9" s="17">
        <v>1.5</v>
      </c>
      <c r="K9" s="17">
        <f>PRODUCT(G9:J9)</f>
        <v>1125</v>
      </c>
      <c r="L9" s="14"/>
    </row>
    <row r="10" spans="1:14" x14ac:dyDescent="0.3">
      <c r="A10" s="107"/>
      <c r="B10" s="105"/>
      <c r="C10" s="15">
        <v>1001.4</v>
      </c>
      <c r="D10" s="15">
        <v>1001.55</v>
      </c>
      <c r="E10" s="15" t="s">
        <v>43</v>
      </c>
      <c r="F10" s="14" t="s">
        <v>44</v>
      </c>
      <c r="G10" s="14">
        <v>1</v>
      </c>
      <c r="H10" s="17">
        <f t="shared" si="2"/>
        <v>149.99999999997726</v>
      </c>
      <c r="I10" s="17">
        <v>1.5</v>
      </c>
      <c r="J10" s="17">
        <v>1.5</v>
      </c>
      <c r="K10" s="17">
        <f t="shared" ref="K10:K16" si="3">PRODUCT(G10:J10)</f>
        <v>337.49999999994884</v>
      </c>
      <c r="L10" s="14"/>
    </row>
    <row r="11" spans="1:14" x14ac:dyDescent="0.3">
      <c r="A11" s="107"/>
      <c r="B11" s="105"/>
      <c r="C11" s="15">
        <v>1002.1</v>
      </c>
      <c r="D11" s="15">
        <v>1002.2</v>
      </c>
      <c r="E11" s="15" t="s">
        <v>43</v>
      </c>
      <c r="F11" s="14" t="s">
        <v>44</v>
      </c>
      <c r="G11" s="14">
        <v>1</v>
      </c>
      <c r="H11" s="17">
        <f t="shared" si="2"/>
        <v>100.00000000002274</v>
      </c>
      <c r="I11" s="17">
        <v>1.5</v>
      </c>
      <c r="J11" s="17">
        <v>1.5</v>
      </c>
      <c r="K11" s="17">
        <f t="shared" si="3"/>
        <v>225.00000000005116</v>
      </c>
      <c r="L11" s="14"/>
    </row>
    <row r="12" spans="1:14" x14ac:dyDescent="0.3">
      <c r="A12" s="107"/>
      <c r="B12" s="105"/>
      <c r="C12" s="15">
        <v>1002.2</v>
      </c>
      <c r="D12" s="15">
        <v>1002.3</v>
      </c>
      <c r="E12" s="15" t="s">
        <v>43</v>
      </c>
      <c r="F12" s="14" t="s">
        <v>44</v>
      </c>
      <c r="G12" s="14">
        <v>1</v>
      </c>
      <c r="H12" s="17">
        <f t="shared" si="2"/>
        <v>99.999999999909051</v>
      </c>
      <c r="I12" s="17">
        <v>1.5</v>
      </c>
      <c r="J12" s="17">
        <v>1.5</v>
      </c>
      <c r="K12" s="17">
        <f t="shared" si="3"/>
        <v>224.99999999979536</v>
      </c>
      <c r="L12" s="14"/>
    </row>
    <row r="13" spans="1:14" x14ac:dyDescent="0.3">
      <c r="A13" s="107"/>
      <c r="B13" s="105"/>
      <c r="C13" s="15">
        <v>1000.9</v>
      </c>
      <c r="D13" s="15">
        <v>1001.4</v>
      </c>
      <c r="E13" s="15" t="s">
        <v>43</v>
      </c>
      <c r="F13" s="14" t="s">
        <v>44</v>
      </c>
      <c r="G13" s="14">
        <v>-1</v>
      </c>
      <c r="H13" s="17">
        <f t="shared" si="2"/>
        <v>500</v>
      </c>
      <c r="I13" s="17">
        <f>PI()/4*(1.1^2)</f>
        <v>0.9503317777109126</v>
      </c>
      <c r="J13" s="17"/>
      <c r="K13" s="17">
        <f>PRODUCT(G13:J13)</f>
        <v>-475.16588885545627</v>
      </c>
      <c r="L13" s="14" t="s">
        <v>47</v>
      </c>
    </row>
    <row r="14" spans="1:14" x14ac:dyDescent="0.3">
      <c r="A14" s="107"/>
      <c r="B14" s="105"/>
      <c r="C14" s="15">
        <v>1001.4</v>
      </c>
      <c r="D14" s="15">
        <v>1001.55</v>
      </c>
      <c r="E14" s="15" t="s">
        <v>43</v>
      </c>
      <c r="F14" s="14" t="s">
        <v>44</v>
      </c>
      <c r="G14" s="14">
        <v>-1</v>
      </c>
      <c r="H14" s="17">
        <f t="shared" si="2"/>
        <v>149.99999999997726</v>
      </c>
      <c r="I14" s="17">
        <f t="shared" ref="I14:I16" si="4">PI()/4*(1.1^2)</f>
        <v>0.9503317777109126</v>
      </c>
      <c r="J14" s="17"/>
      <c r="K14" s="17">
        <f t="shared" si="3"/>
        <v>-142.54976665661528</v>
      </c>
      <c r="L14" s="14" t="s">
        <v>47</v>
      </c>
    </row>
    <row r="15" spans="1:14" x14ac:dyDescent="0.3">
      <c r="A15" s="107"/>
      <c r="B15" s="105"/>
      <c r="C15" s="15">
        <v>1002.1</v>
      </c>
      <c r="D15" s="15">
        <v>1002.2</v>
      </c>
      <c r="E15" s="15" t="s">
        <v>43</v>
      </c>
      <c r="F15" s="14" t="s">
        <v>44</v>
      </c>
      <c r="G15" s="14">
        <v>-1</v>
      </c>
      <c r="H15" s="17">
        <f t="shared" si="2"/>
        <v>100.00000000002274</v>
      </c>
      <c r="I15" s="17">
        <f t="shared" si="4"/>
        <v>0.9503317777109126</v>
      </c>
      <c r="J15" s="17"/>
      <c r="K15" s="17">
        <f t="shared" si="3"/>
        <v>-95.033177771112861</v>
      </c>
      <c r="L15" s="14" t="s">
        <v>47</v>
      </c>
    </row>
    <row r="16" spans="1:14" x14ac:dyDescent="0.3">
      <c r="A16" s="114"/>
      <c r="B16" s="115"/>
      <c r="C16" s="15">
        <v>1002.2</v>
      </c>
      <c r="D16" s="15">
        <v>1002.3</v>
      </c>
      <c r="E16" s="15" t="s">
        <v>43</v>
      </c>
      <c r="F16" s="14" t="s">
        <v>44</v>
      </c>
      <c r="G16" s="14">
        <v>-1</v>
      </c>
      <c r="H16" s="17">
        <f t="shared" si="2"/>
        <v>99.999999999909051</v>
      </c>
      <c r="I16" s="17">
        <f t="shared" si="4"/>
        <v>0.9503317777109126</v>
      </c>
      <c r="J16" s="17"/>
      <c r="K16" s="17">
        <f t="shared" si="3"/>
        <v>-95.03317777100483</v>
      </c>
      <c r="L16" s="14" t="s">
        <v>47</v>
      </c>
    </row>
    <row r="17" spans="1:17" x14ac:dyDescent="0.3">
      <c r="A17" s="14"/>
      <c r="B17" s="16"/>
      <c r="C17" s="15"/>
      <c r="D17" s="15"/>
      <c r="E17" s="15"/>
      <c r="F17" s="11"/>
      <c r="G17" s="11"/>
      <c r="H17" s="13"/>
      <c r="I17" s="13" t="s">
        <v>45</v>
      </c>
      <c r="J17" s="13"/>
      <c r="K17" s="63">
        <f>SUM(K9:K16)</f>
        <v>1104.7179889456063</v>
      </c>
      <c r="L17" s="11"/>
      <c r="N17" s="55">
        <f>K17</f>
        <v>1104.7179889456063</v>
      </c>
    </row>
    <row r="18" spans="1:17" x14ac:dyDescent="0.3">
      <c r="A18" s="106">
        <v>3</v>
      </c>
      <c r="B18" s="104" t="s">
        <v>48</v>
      </c>
      <c r="C18" s="15">
        <v>1000.9</v>
      </c>
      <c r="D18" s="15">
        <v>1001.4</v>
      </c>
      <c r="E18" s="15" t="s">
        <v>43</v>
      </c>
      <c r="F18" s="14" t="s">
        <v>44</v>
      </c>
      <c r="G18" s="14"/>
      <c r="H18" s="17">
        <f>(D18-C18)*1000</f>
        <v>500</v>
      </c>
      <c r="I18" s="17"/>
      <c r="J18" s="17"/>
      <c r="K18" s="17">
        <f t="shared" ref="K18:K21" si="5">PRODUCT(H18:J18)</f>
        <v>500</v>
      </c>
      <c r="L18" s="11"/>
    </row>
    <row r="19" spans="1:17" x14ac:dyDescent="0.3">
      <c r="A19" s="107"/>
      <c r="B19" s="105"/>
      <c r="C19" s="15">
        <v>1001.4</v>
      </c>
      <c r="D19" s="15">
        <v>1001.55</v>
      </c>
      <c r="E19" s="15" t="s">
        <v>43</v>
      </c>
      <c r="F19" s="14" t="s">
        <v>44</v>
      </c>
      <c r="G19" s="14"/>
      <c r="H19" s="17">
        <f>(D19-C19)*1000</f>
        <v>149.99999999997726</v>
      </c>
      <c r="I19" s="17"/>
      <c r="J19" s="17"/>
      <c r="K19" s="17">
        <f t="shared" si="5"/>
        <v>149.99999999997726</v>
      </c>
      <c r="L19" s="14"/>
    </row>
    <row r="20" spans="1:17" x14ac:dyDescent="0.3">
      <c r="A20" s="107"/>
      <c r="B20" s="105"/>
      <c r="C20" s="15">
        <v>1002.1</v>
      </c>
      <c r="D20" s="15">
        <v>1002.2</v>
      </c>
      <c r="E20" s="15" t="s">
        <v>43</v>
      </c>
      <c r="F20" s="14" t="s">
        <v>44</v>
      </c>
      <c r="G20" s="14"/>
      <c r="H20" s="17">
        <f>(D20-C20)*1000</f>
        <v>100.00000000002274</v>
      </c>
      <c r="I20" s="17"/>
      <c r="J20" s="17"/>
      <c r="K20" s="17">
        <f t="shared" si="5"/>
        <v>100.00000000002274</v>
      </c>
      <c r="L20" s="14"/>
    </row>
    <row r="21" spans="1:17" x14ac:dyDescent="0.3">
      <c r="A21" s="107"/>
      <c r="B21" s="105"/>
      <c r="C21" s="15">
        <v>1002.2</v>
      </c>
      <c r="D21" s="15">
        <v>1002.3</v>
      </c>
      <c r="E21" s="15" t="s">
        <v>43</v>
      </c>
      <c r="F21" s="14" t="s">
        <v>44</v>
      </c>
      <c r="G21" s="14"/>
      <c r="H21" s="17">
        <f>(D21-C21)*1000</f>
        <v>99.999999999909051</v>
      </c>
      <c r="I21" s="17"/>
      <c r="J21" s="17"/>
      <c r="K21" s="17">
        <f t="shared" si="5"/>
        <v>99.999999999909051</v>
      </c>
      <c r="L21" s="14"/>
    </row>
    <row r="22" spans="1:17" x14ac:dyDescent="0.3">
      <c r="A22" s="11"/>
      <c r="B22" s="12"/>
      <c r="C22" s="18"/>
      <c r="D22" s="18"/>
      <c r="E22" s="18"/>
      <c r="F22" s="11"/>
      <c r="G22" s="11"/>
      <c r="H22" s="13"/>
      <c r="I22" s="13" t="s">
        <v>45</v>
      </c>
      <c r="J22" s="13"/>
      <c r="K22" s="63">
        <f>SUM(K18:K21)</f>
        <v>849.99999999990905</v>
      </c>
      <c r="L22" s="14"/>
      <c r="N22" s="55">
        <f>K22</f>
        <v>849.99999999990905</v>
      </c>
    </row>
    <row r="23" spans="1:17" x14ac:dyDescent="0.3">
      <c r="A23" s="111">
        <v>4</v>
      </c>
      <c r="B23" s="108" t="s">
        <v>49</v>
      </c>
      <c r="C23" s="39">
        <v>1000.9</v>
      </c>
      <c r="D23" s="39">
        <v>1001.4</v>
      </c>
      <c r="E23" s="36" t="s">
        <v>43</v>
      </c>
      <c r="F23" s="36" t="s">
        <v>18</v>
      </c>
      <c r="G23" s="37">
        <f>H9/20</f>
        <v>25</v>
      </c>
      <c r="H23" s="17"/>
      <c r="I23" s="37"/>
      <c r="J23" s="37"/>
      <c r="K23" s="37">
        <f>ROUND(G23,0)</f>
        <v>25</v>
      </c>
      <c r="L23" s="36"/>
      <c r="Q23" s="56">
        <f>H18/20</f>
        <v>25</v>
      </c>
    </row>
    <row r="24" spans="1:17" x14ac:dyDescent="0.3">
      <c r="A24" s="112"/>
      <c r="B24" s="109"/>
      <c r="C24" s="39">
        <v>1001.4</v>
      </c>
      <c r="D24" s="39">
        <v>1001.55</v>
      </c>
      <c r="E24" s="36" t="s">
        <v>43</v>
      </c>
      <c r="F24" s="36" t="s">
        <v>18</v>
      </c>
      <c r="G24" s="37">
        <f>H10/20</f>
        <v>7.4999999999988631</v>
      </c>
      <c r="H24" s="17"/>
      <c r="I24" s="37"/>
      <c r="J24" s="37"/>
      <c r="K24" s="37">
        <f>ROUND(G24,0)</f>
        <v>7</v>
      </c>
      <c r="L24" s="36"/>
      <c r="Q24" s="56">
        <f>H19/20</f>
        <v>7.4999999999988631</v>
      </c>
    </row>
    <row r="25" spans="1:17" x14ac:dyDescent="0.3">
      <c r="A25" s="112"/>
      <c r="B25" s="109"/>
      <c r="C25" s="39">
        <v>1002.1</v>
      </c>
      <c r="D25" s="39">
        <v>1002.2</v>
      </c>
      <c r="E25" s="36" t="s">
        <v>43</v>
      </c>
      <c r="F25" s="36" t="s">
        <v>18</v>
      </c>
      <c r="G25" s="37">
        <f>H11/20</f>
        <v>5.0000000000011369</v>
      </c>
      <c r="H25" s="17"/>
      <c r="I25" s="37"/>
      <c r="J25" s="37"/>
      <c r="K25" s="37">
        <f>ROUND(G25,0)</f>
        <v>5</v>
      </c>
      <c r="L25" s="36"/>
      <c r="Q25" s="56">
        <f>H20/20</f>
        <v>5.0000000000011369</v>
      </c>
    </row>
    <row r="26" spans="1:17" x14ac:dyDescent="0.3">
      <c r="A26" s="113"/>
      <c r="B26" s="110"/>
      <c r="C26" s="39">
        <v>1002.2</v>
      </c>
      <c r="D26" s="39">
        <v>1002.3</v>
      </c>
      <c r="E26" s="36" t="s">
        <v>43</v>
      </c>
      <c r="F26" s="36" t="s">
        <v>18</v>
      </c>
      <c r="G26" s="37">
        <f>H12/20</f>
        <v>4.9999999999954525</v>
      </c>
      <c r="H26" s="17"/>
      <c r="I26" s="37"/>
      <c r="J26" s="37"/>
      <c r="K26" s="37">
        <f>ROUND(G26,0)</f>
        <v>5</v>
      </c>
      <c r="L26" s="36"/>
      <c r="Q26" s="56">
        <f>H21/20</f>
        <v>4.9999999999954525</v>
      </c>
    </row>
    <row r="27" spans="1:17" x14ac:dyDescent="0.3">
      <c r="A27" s="80"/>
      <c r="B27" s="81"/>
      <c r="C27" s="82"/>
      <c r="D27" s="82"/>
      <c r="E27" s="80"/>
      <c r="F27" s="80"/>
      <c r="G27" s="80"/>
      <c r="H27" s="83"/>
      <c r="I27" s="83" t="s">
        <v>45</v>
      </c>
      <c r="J27" s="83"/>
      <c r="K27" s="83">
        <f>SUM(K23:K26)</f>
        <v>42</v>
      </c>
      <c r="L27" s="84"/>
      <c r="N27">
        <f>'Chamber Calc'!I14</f>
        <v>0</v>
      </c>
    </row>
    <row r="28" spans="1:17" ht="14.8" x14ac:dyDescent="0.3">
      <c r="A28"/>
      <c r="B28"/>
      <c r="C28" s="40"/>
      <c r="D28" s="40"/>
      <c r="E28"/>
      <c r="F28"/>
      <c r="G28"/>
      <c r="H28" s="38"/>
      <c r="I28" s="38"/>
      <c r="J28" s="38"/>
      <c r="K28" s="38"/>
      <c r="L28"/>
    </row>
    <row r="29" spans="1:17" ht="14.8" x14ac:dyDescent="0.3">
      <c r="A29"/>
      <c r="B29"/>
      <c r="C29" s="40"/>
      <c r="D29" s="40"/>
      <c r="E29"/>
      <c r="F29"/>
      <c r="G29"/>
      <c r="H29" s="38"/>
      <c r="I29" s="38"/>
      <c r="J29" s="38"/>
      <c r="K29" s="38"/>
      <c r="L29"/>
    </row>
    <row r="30" spans="1:17" ht="14.8" x14ac:dyDescent="0.3">
      <c r="A30"/>
      <c r="B30"/>
      <c r="C30" s="40"/>
      <c r="D30" s="40"/>
      <c r="E30"/>
      <c r="F30"/>
      <c r="G30"/>
      <c r="H30" s="38"/>
      <c r="I30" s="38"/>
      <c r="J30" s="38"/>
      <c r="K30" s="38"/>
      <c r="L30"/>
    </row>
    <row r="31" spans="1:17" ht="14.8" x14ac:dyDescent="0.3">
      <c r="A31"/>
      <c r="B31"/>
      <c r="C31" s="40"/>
      <c r="D31" s="40"/>
      <c r="E31"/>
      <c r="F31"/>
      <c r="G31"/>
      <c r="H31" s="38"/>
      <c r="I31" s="38"/>
      <c r="J31" s="38"/>
      <c r="K31" s="38"/>
      <c r="L31"/>
    </row>
    <row r="32" spans="1:17" ht="14.8" x14ac:dyDescent="0.3">
      <c r="A32"/>
      <c r="B32"/>
      <c r="C32" s="40"/>
      <c r="D32" s="40"/>
      <c r="E32"/>
      <c r="F32"/>
      <c r="G32"/>
      <c r="H32" s="38"/>
      <c r="I32" s="38"/>
      <c r="J32" s="38"/>
      <c r="K32" s="38"/>
      <c r="L32"/>
    </row>
    <row r="33" spans="1:12" ht="14.8" x14ac:dyDescent="0.3">
      <c r="A33"/>
      <c r="B33"/>
      <c r="C33" s="40"/>
      <c r="D33" s="40"/>
      <c r="E33"/>
      <c r="F33"/>
      <c r="G33"/>
      <c r="H33" s="38"/>
      <c r="I33" s="38"/>
      <c r="J33" s="38"/>
      <c r="K33" s="38"/>
      <c r="L33"/>
    </row>
  </sheetData>
  <mergeCells count="9">
    <mergeCell ref="A1:L1"/>
    <mergeCell ref="B18:B21"/>
    <mergeCell ref="A18:A21"/>
    <mergeCell ref="B23:B26"/>
    <mergeCell ref="A23:A26"/>
    <mergeCell ref="A4:A7"/>
    <mergeCell ref="B4:B7"/>
    <mergeCell ref="B9:B16"/>
    <mergeCell ref="A9:A16"/>
  </mergeCells>
  <dataValidations disablePrompts="1" count="2">
    <dataValidation type="list" allowBlank="1" showInputMessage="1" showErrorMessage="1" sqref="F4:F22" xr:uid="{09F6E949-92D7-4FCA-8E19-B4535AD43F59}">
      <formula1>"CUM, Sqm, Rm"</formula1>
    </dataValidation>
    <dataValidation type="list" allowBlank="1" showInputMessage="1" showErrorMessage="1" sqref="E2:E22" xr:uid="{4CA4C3AD-1860-4BD1-A370-C2C0B52D7239}">
      <formula1>"LHS, RHS"</formula1>
    </dataValidation>
  </dataValidations>
  <printOptions horizontalCentered="1"/>
  <pageMargins left="0.70866141732283472" right="0.70866141732283472" top="0.74803149606299213" bottom="0.74803149606299213" header="0.31496062992125984" footer="0.31496062992125984"/>
  <pageSetup paperSize="9" scale="82" orientation="landscape"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1D7E2-757F-4266-99D0-FBB90CE96D3D}">
  <dimension ref="A1"/>
  <sheetViews>
    <sheetView view="pageBreakPreview" zoomScaleNormal="70" zoomScaleSheetLayoutView="100" workbookViewId="0">
      <selection activeCell="J26" sqref="J26"/>
    </sheetView>
  </sheetViews>
  <sheetFormatPr defaultRowHeight="14.8" x14ac:dyDescent="0.3"/>
  <sheetData/>
  <pageMargins left="0.70866141732283472" right="0.70866141732283472" top="0.74803149606299213" bottom="0.74803149606299213" header="0.31496062992125984" footer="0.31496062992125984"/>
  <pageSetup paperSize="9" orientation="portrait" r:id="rId1"/>
  <headerFooter>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67A8-09CF-487D-A8DC-CCEBB4506F6E}">
  <sheetPr>
    <pageSetUpPr fitToPage="1"/>
  </sheetPr>
  <dimension ref="B4:O25"/>
  <sheetViews>
    <sheetView view="pageBreakPreview" zoomScaleNormal="85" zoomScaleSheetLayoutView="100" workbookViewId="0">
      <selection activeCell="N15" sqref="N15"/>
    </sheetView>
  </sheetViews>
  <sheetFormatPr defaultRowHeight="14.8" x14ac:dyDescent="0.3"/>
  <cols>
    <col min="3" max="3" width="10.88671875" bestFit="1" customWidth="1"/>
    <col min="4" max="4" width="18.109375" bestFit="1" customWidth="1"/>
    <col min="9" max="9" width="12.44140625" bestFit="1" customWidth="1"/>
    <col min="10" max="10" width="10.5546875" bestFit="1" customWidth="1"/>
    <col min="11" max="11" width="13" bestFit="1" customWidth="1"/>
    <col min="12" max="12" width="11.44140625" bestFit="1" customWidth="1"/>
    <col min="13" max="13" width="5.6640625" customWidth="1"/>
    <col min="14" max="14" width="10.44140625" bestFit="1" customWidth="1"/>
  </cols>
  <sheetData>
    <row r="4" spans="2:15" ht="29.6" x14ac:dyDescent="0.3">
      <c r="N4" s="85" t="s">
        <v>50</v>
      </c>
      <c r="O4">
        <f>0.2+0.1+0.9+0.1+0.3+0.1</f>
        <v>1.7000000000000004</v>
      </c>
    </row>
    <row r="5" spans="2:15" x14ac:dyDescent="0.3">
      <c r="B5" s="116" t="s">
        <v>51</v>
      </c>
      <c r="C5" s="116" t="s">
        <v>31</v>
      </c>
      <c r="D5" s="117" t="s">
        <v>37</v>
      </c>
      <c r="E5" s="118"/>
      <c r="F5" s="116" t="s">
        <v>38</v>
      </c>
      <c r="G5" s="116" t="s">
        <v>39</v>
      </c>
      <c r="H5" s="116" t="s">
        <v>40</v>
      </c>
      <c r="I5" s="116" t="s">
        <v>52</v>
      </c>
      <c r="J5" s="116" t="s">
        <v>6</v>
      </c>
      <c r="K5" s="116" t="s">
        <v>7</v>
      </c>
      <c r="L5" s="116" t="s">
        <v>8</v>
      </c>
      <c r="N5" t="s">
        <v>53</v>
      </c>
      <c r="O5">
        <f>40/1000</f>
        <v>0.04</v>
      </c>
    </row>
    <row r="6" spans="2:15" x14ac:dyDescent="0.3">
      <c r="B6" s="46">
        <v>1</v>
      </c>
      <c r="C6" s="46" t="s">
        <v>54</v>
      </c>
      <c r="D6" s="59">
        <f>Measurement!K27</f>
        <v>42</v>
      </c>
      <c r="E6" s="46">
        <v>1</v>
      </c>
      <c r="F6" s="46">
        <f>1.2+0.3*2+0.1*2</f>
        <v>1.9999999999999998</v>
      </c>
      <c r="G6" s="46">
        <f>1.2+0.3*2+0.1*2</f>
        <v>1.9999999999999998</v>
      </c>
      <c r="H6" s="46">
        <v>0.1</v>
      </c>
      <c r="I6" s="62">
        <f>PRODUCT(D6:H6)</f>
        <v>16.799999999999994</v>
      </c>
      <c r="J6" s="57"/>
      <c r="K6" s="57">
        <f>J6*I6</f>
        <v>0</v>
      </c>
      <c r="L6" s="46" t="s">
        <v>55</v>
      </c>
    </row>
    <row r="7" spans="2:15" x14ac:dyDescent="0.3">
      <c r="B7" s="46">
        <v>2</v>
      </c>
      <c r="C7" s="46" t="s">
        <v>56</v>
      </c>
      <c r="D7" s="59">
        <f>D6</f>
        <v>42</v>
      </c>
      <c r="E7" s="46">
        <v>1</v>
      </c>
      <c r="F7" s="46">
        <f>1.2+0.3*2</f>
        <v>1.7999999999999998</v>
      </c>
      <c r="G7" s="46">
        <f>1.2+0.3*2</f>
        <v>1.7999999999999998</v>
      </c>
      <c r="H7" s="46">
        <v>0.3</v>
      </c>
      <c r="I7" s="62">
        <f t="shared" ref="I7:I13" si="0">PRODUCT(D7:H7)</f>
        <v>40.823999999999991</v>
      </c>
      <c r="J7" s="57"/>
      <c r="K7" s="57">
        <f t="shared" ref="K7:K13" si="1">J7*I7</f>
        <v>0</v>
      </c>
      <c r="L7" s="46" t="s">
        <v>57</v>
      </c>
    </row>
    <row r="8" spans="2:15" x14ac:dyDescent="0.3">
      <c r="B8" s="46">
        <v>3</v>
      </c>
      <c r="C8" s="46" t="s">
        <v>58</v>
      </c>
      <c r="D8" s="59">
        <f>D7</f>
        <v>42</v>
      </c>
      <c r="E8" s="46"/>
      <c r="F8" s="46"/>
      <c r="G8" s="46"/>
      <c r="H8" s="46"/>
      <c r="I8" s="62">
        <f t="shared" si="0"/>
        <v>42</v>
      </c>
      <c r="J8" s="45"/>
      <c r="K8" s="57">
        <f t="shared" si="1"/>
        <v>0</v>
      </c>
      <c r="L8" s="46"/>
    </row>
    <row r="9" spans="2:15" x14ac:dyDescent="0.3">
      <c r="B9" s="46"/>
      <c r="C9" s="46" t="s">
        <v>59</v>
      </c>
      <c r="D9" s="59">
        <f t="shared" ref="D9:D13" si="2">D8</f>
        <v>42</v>
      </c>
      <c r="E9" s="46">
        <v>2</v>
      </c>
      <c r="F9" s="46">
        <f>1.2+0.3*2</f>
        <v>1.7999999999999998</v>
      </c>
      <c r="G9" s="49">
        <v>0.3</v>
      </c>
      <c r="H9" s="46">
        <f>O4-H6-H7-H12</f>
        <v>1.1500000000000004</v>
      </c>
      <c r="I9" s="62">
        <f t="shared" si="0"/>
        <v>52.164000000000009</v>
      </c>
      <c r="J9" s="57"/>
      <c r="K9" s="57">
        <f t="shared" si="1"/>
        <v>0</v>
      </c>
      <c r="L9" s="46" t="s">
        <v>57</v>
      </c>
    </row>
    <row r="10" spans="2:15" x14ac:dyDescent="0.3">
      <c r="B10" s="46"/>
      <c r="C10" s="46" t="s">
        <v>60</v>
      </c>
      <c r="D10" s="59">
        <f t="shared" si="2"/>
        <v>42</v>
      </c>
      <c r="E10" s="46">
        <v>2</v>
      </c>
      <c r="F10" s="46">
        <v>1.2</v>
      </c>
      <c r="G10" s="49">
        <v>0.3</v>
      </c>
      <c r="H10" s="46">
        <f>O4-H6-H7-H12</f>
        <v>1.1500000000000004</v>
      </c>
      <c r="I10" s="62">
        <f t="shared" si="0"/>
        <v>34.77600000000001</v>
      </c>
      <c r="J10" s="57"/>
      <c r="K10" s="57">
        <f t="shared" si="1"/>
        <v>0</v>
      </c>
      <c r="L10" s="46" t="s">
        <v>57</v>
      </c>
    </row>
    <row r="11" spans="2:15" x14ac:dyDescent="0.3">
      <c r="B11" s="46"/>
      <c r="C11" s="46" t="s">
        <v>61</v>
      </c>
      <c r="D11" s="59">
        <f t="shared" si="2"/>
        <v>42</v>
      </c>
      <c r="E11" s="46">
        <v>-2</v>
      </c>
      <c r="F11" s="49">
        <f>(PI()/4)*(1.1^2)</f>
        <v>0.9503317777109126</v>
      </c>
      <c r="G11" s="46">
        <v>0.3</v>
      </c>
      <c r="H11" s="46"/>
      <c r="I11" s="62">
        <f t="shared" si="0"/>
        <v>-23.948360798314997</v>
      </c>
      <c r="J11" s="57"/>
      <c r="K11" s="57">
        <f>J11*I11</f>
        <v>0</v>
      </c>
      <c r="L11" s="46" t="s">
        <v>57</v>
      </c>
    </row>
    <row r="12" spans="2:15" x14ac:dyDescent="0.3">
      <c r="B12" s="46">
        <v>4</v>
      </c>
      <c r="C12" s="46" t="s">
        <v>62</v>
      </c>
      <c r="D12" s="59">
        <f t="shared" si="2"/>
        <v>42</v>
      </c>
      <c r="E12" s="46">
        <v>1</v>
      </c>
      <c r="F12" s="46">
        <f>1.2+0.3*2</f>
        <v>1.7999999999999998</v>
      </c>
      <c r="G12" s="46">
        <f>1.2+0.3*2</f>
        <v>1.7999999999999998</v>
      </c>
      <c r="H12" s="46">
        <v>0.15</v>
      </c>
      <c r="I12" s="62">
        <f t="shared" si="0"/>
        <v>20.411999999999995</v>
      </c>
      <c r="J12" s="57"/>
      <c r="K12" s="57">
        <f t="shared" si="1"/>
        <v>0</v>
      </c>
      <c r="L12" s="46" t="s">
        <v>57</v>
      </c>
      <c r="N12" s="38"/>
    </row>
    <row r="13" spans="2:15" x14ac:dyDescent="0.3">
      <c r="B13" s="45">
        <v>5</v>
      </c>
      <c r="C13" s="46" t="s">
        <v>63</v>
      </c>
      <c r="D13" s="59">
        <f t="shared" si="2"/>
        <v>42</v>
      </c>
      <c r="E13" s="46">
        <v>1</v>
      </c>
      <c r="F13" s="45"/>
      <c r="G13" s="45"/>
      <c r="H13" s="48">
        <f>L25/1000</f>
        <v>0.27352375308641974</v>
      </c>
      <c r="I13" s="62">
        <f t="shared" si="0"/>
        <v>11.487997629629628</v>
      </c>
      <c r="J13" s="57"/>
      <c r="K13" s="57">
        <f t="shared" si="1"/>
        <v>0</v>
      </c>
      <c r="L13" s="45"/>
    </row>
    <row r="14" spans="2:15" x14ac:dyDescent="0.3">
      <c r="I14" s="54"/>
      <c r="K14" s="58">
        <f>SUM(K6:K13)</f>
        <v>0</v>
      </c>
      <c r="M14" s="55"/>
    </row>
    <row r="16" spans="2:15" s="47" customFormat="1" ht="29.6" x14ac:dyDescent="0.3">
      <c r="C16" s="116" t="s">
        <v>64</v>
      </c>
      <c r="D16" s="116" t="s">
        <v>31</v>
      </c>
      <c r="E16" s="116" t="s">
        <v>65</v>
      </c>
      <c r="F16" s="116" t="s">
        <v>66</v>
      </c>
      <c r="G16" s="116" t="s">
        <v>37</v>
      </c>
      <c r="H16" s="116" t="s">
        <v>38</v>
      </c>
      <c r="I16" s="116" t="s">
        <v>67</v>
      </c>
      <c r="J16" s="119" t="s">
        <v>68</v>
      </c>
      <c r="K16" s="116" t="s">
        <v>69</v>
      </c>
      <c r="L16" s="116" t="s">
        <v>70</v>
      </c>
    </row>
    <row r="17" spans="3:12" x14ac:dyDescent="0.3">
      <c r="C17" s="46">
        <v>1</v>
      </c>
      <c r="D17" s="52" t="s">
        <v>71</v>
      </c>
      <c r="E17" s="46">
        <v>12</v>
      </c>
      <c r="F17" s="46">
        <v>0.125</v>
      </c>
      <c r="G17" s="46">
        <v>1</v>
      </c>
      <c r="H17" s="46">
        <f>$F$12-0.04*2+0.07*2</f>
        <v>1.8599999999999999</v>
      </c>
      <c r="I17" s="46">
        <f>ROUND((($F$12-$O$5*2)/$F$17)+1,0)</f>
        <v>15</v>
      </c>
      <c r="J17" s="44">
        <f t="shared" ref="J17:J24" si="3">(2*E17*2)/1000</f>
        <v>4.8000000000000001E-2</v>
      </c>
      <c r="K17" s="48">
        <f t="shared" ref="K17:K24" si="4">E17^2/162</f>
        <v>0.88888888888888884</v>
      </c>
      <c r="L17" s="49">
        <f>((H17-J17)*K17*I17*G17)</f>
        <v>24.159999999999997</v>
      </c>
    </row>
    <row r="18" spans="3:12" x14ac:dyDescent="0.3">
      <c r="C18" s="46">
        <v>2</v>
      </c>
      <c r="D18" s="52" t="s">
        <v>72</v>
      </c>
      <c r="E18" s="46">
        <v>8</v>
      </c>
      <c r="F18" s="46">
        <v>0.25</v>
      </c>
      <c r="G18" s="46">
        <v>1</v>
      </c>
      <c r="H18" s="46">
        <f>$F$12-0.04*2+0.07*2</f>
        <v>1.8599999999999999</v>
      </c>
      <c r="I18" s="46">
        <f>ROUND((($F$12-$O$5*2)/$F$18)+1,0)</f>
        <v>8</v>
      </c>
      <c r="J18" s="44">
        <f t="shared" si="3"/>
        <v>3.2000000000000001E-2</v>
      </c>
      <c r="K18" s="48">
        <f t="shared" si="4"/>
        <v>0.39506172839506171</v>
      </c>
      <c r="L18" s="49">
        <f t="shared" ref="L18:L24" si="5">((H18-J18)*K18*I18*G18)</f>
        <v>5.7773827160493818</v>
      </c>
    </row>
    <row r="19" spans="3:12" ht="29.6" x14ac:dyDescent="0.3">
      <c r="C19" s="46">
        <v>3</v>
      </c>
      <c r="D19" s="53" t="s">
        <v>73</v>
      </c>
      <c r="E19" s="46">
        <v>16</v>
      </c>
      <c r="F19" s="46">
        <v>0.15</v>
      </c>
      <c r="G19" s="46">
        <v>2</v>
      </c>
      <c r="H19" s="46">
        <f>$H$9+$H$7-$O$5*2+$G$9+0.3*1.2</f>
        <v>2.0300000000000002</v>
      </c>
      <c r="I19" s="46">
        <f>ROUND(($F$9-O5-O5)/F20,0)+1</f>
        <v>12</v>
      </c>
      <c r="J19" s="44">
        <f t="shared" si="3"/>
        <v>6.4000000000000001E-2</v>
      </c>
      <c r="K19" s="48">
        <f t="shared" si="4"/>
        <v>1.5802469135802468</v>
      </c>
      <c r="L19" s="49">
        <f t="shared" si="5"/>
        <v>74.562370370370374</v>
      </c>
    </row>
    <row r="20" spans="3:12" ht="29.6" x14ac:dyDescent="0.3">
      <c r="C20" s="46">
        <v>6</v>
      </c>
      <c r="D20" s="53" t="s">
        <v>74</v>
      </c>
      <c r="E20" s="46">
        <v>16</v>
      </c>
      <c r="F20" s="46">
        <v>0.15</v>
      </c>
      <c r="G20" s="46">
        <v>2</v>
      </c>
      <c r="H20" s="46">
        <f>$H$9+$H$7-$O$5*2+$G$9+0.15</f>
        <v>1.8200000000000003</v>
      </c>
      <c r="I20" s="46">
        <f>ROUND(($F$9-O5-O5)/F20,0)+1</f>
        <v>12</v>
      </c>
      <c r="J20" s="44">
        <f t="shared" si="3"/>
        <v>6.4000000000000001E-2</v>
      </c>
      <c r="K20" s="48">
        <f t="shared" si="4"/>
        <v>1.5802469135802468</v>
      </c>
      <c r="L20" s="49">
        <f t="shared" si="5"/>
        <v>66.597925925925935</v>
      </c>
    </row>
    <row r="21" spans="3:12" x14ac:dyDescent="0.3">
      <c r="C21" s="46">
        <v>4</v>
      </c>
      <c r="D21" s="52" t="s">
        <v>75</v>
      </c>
      <c r="E21" s="46">
        <v>8</v>
      </c>
      <c r="F21" s="46">
        <v>0.2</v>
      </c>
      <c r="G21" s="46">
        <v>4</v>
      </c>
      <c r="H21" s="46">
        <f>$F$9-$O$5*2+0.1*2</f>
        <v>1.9199999999999997</v>
      </c>
      <c r="I21" s="46">
        <f>ROUND(($H$9-$O$5)/$F$21,0)+1</f>
        <v>7</v>
      </c>
      <c r="J21" s="44">
        <f t="shared" si="3"/>
        <v>3.2000000000000001E-2</v>
      </c>
      <c r="K21" s="48">
        <f t="shared" si="4"/>
        <v>0.39506172839506171</v>
      </c>
      <c r="L21" s="49">
        <f t="shared" si="5"/>
        <v>20.88454320987654</v>
      </c>
    </row>
    <row r="22" spans="3:12" x14ac:dyDescent="0.3">
      <c r="C22" s="46">
        <v>5</v>
      </c>
      <c r="D22" s="52" t="s">
        <v>76</v>
      </c>
      <c r="E22" s="46">
        <v>12</v>
      </c>
      <c r="F22" s="46">
        <v>0.15</v>
      </c>
      <c r="G22" s="46">
        <v>1</v>
      </c>
      <c r="H22" s="46">
        <f>(0.3*H9*2)+H7-O5+G7-O5-O5</f>
        <v>2.67</v>
      </c>
      <c r="I22" s="46">
        <f>ROUND(($F$9-$O$5-$O$5)/$F$22,0)+1</f>
        <v>12</v>
      </c>
      <c r="J22" s="44">
        <f t="shared" si="3"/>
        <v>4.8000000000000001E-2</v>
      </c>
      <c r="K22" s="48">
        <f t="shared" si="4"/>
        <v>0.88888888888888884</v>
      </c>
      <c r="L22" s="49">
        <f t="shared" si="5"/>
        <v>27.967999999999996</v>
      </c>
    </row>
    <row r="23" spans="3:12" ht="29.6" x14ac:dyDescent="0.3">
      <c r="C23" s="46" t="s">
        <v>77</v>
      </c>
      <c r="D23" s="53" t="s">
        <v>78</v>
      </c>
      <c r="E23" s="46">
        <v>12</v>
      </c>
      <c r="F23" s="46">
        <v>0.15</v>
      </c>
      <c r="G23" s="46">
        <v>2</v>
      </c>
      <c r="H23" s="46">
        <f>H17</f>
        <v>1.8599999999999999</v>
      </c>
      <c r="I23" s="46">
        <f>ROUND((($F$7-$O$5*2)/$F$23)+1,0)</f>
        <v>12</v>
      </c>
      <c r="J23" s="44">
        <f t="shared" si="3"/>
        <v>4.8000000000000001E-2</v>
      </c>
      <c r="K23" s="48">
        <f t="shared" si="4"/>
        <v>0.88888888888888884</v>
      </c>
      <c r="L23" s="49">
        <f t="shared" si="5"/>
        <v>38.655999999999992</v>
      </c>
    </row>
    <row r="24" spans="3:12" x14ac:dyDescent="0.3">
      <c r="C24" s="46">
        <v>4</v>
      </c>
      <c r="D24" s="52" t="s">
        <v>79</v>
      </c>
      <c r="E24" s="46">
        <v>8</v>
      </c>
      <c r="F24" s="46">
        <v>0.2</v>
      </c>
      <c r="G24" s="46">
        <v>2</v>
      </c>
      <c r="H24" s="46">
        <f>H21</f>
        <v>1.9199999999999997</v>
      </c>
      <c r="I24" s="46">
        <f>ROUND(($F$7-$O$5-$O$5)/$F$24,0)+1</f>
        <v>10</v>
      </c>
      <c r="J24" s="44">
        <f t="shared" si="3"/>
        <v>3.2000000000000001E-2</v>
      </c>
      <c r="K24" s="48">
        <f t="shared" si="4"/>
        <v>0.39506172839506171</v>
      </c>
      <c r="L24" s="49">
        <f t="shared" si="5"/>
        <v>14.917530864197527</v>
      </c>
    </row>
    <row r="25" spans="3:12" x14ac:dyDescent="0.3">
      <c r="C25" s="50"/>
      <c r="D25" s="50"/>
      <c r="E25" s="50"/>
      <c r="F25" s="50"/>
      <c r="G25" s="50"/>
      <c r="H25" s="50"/>
      <c r="I25" s="50"/>
      <c r="J25" s="50"/>
      <c r="L25" s="51">
        <f>SUM(L17:L24)</f>
        <v>273.52375308641973</v>
      </c>
    </row>
  </sheetData>
  <mergeCells count="1">
    <mergeCell ref="D5:E5"/>
  </mergeCells>
  <pageMargins left="0.70866141732283472" right="0.70866141732283472" top="0.74803149606299213" bottom="0.74803149606299213" header="0.31496062992125984" footer="0.31496062992125984"/>
  <pageSetup paperSize="9" scale="84" orientation="landscape" r:id="rId1"/>
  <headerFooter>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C0D75D5B5104469FCBE70298D74DFC" ma:contentTypeVersion="15" ma:contentTypeDescription="Create a new document." ma:contentTypeScope="" ma:versionID="1b38d90354bb0542e32df1db58774ca0">
  <xsd:schema xmlns:xsd="http://www.w3.org/2001/XMLSchema" xmlns:xs="http://www.w3.org/2001/XMLSchema" xmlns:p="http://schemas.microsoft.com/office/2006/metadata/properties" xmlns:ns3="66371a60-420a-486a-bddb-e6844ab99ec8" xmlns:ns4="55d6c6fe-934f-47ac-a9e5-ef3e4435d4d4" targetNamespace="http://schemas.microsoft.com/office/2006/metadata/properties" ma:root="true" ma:fieldsID="0cb055ee8f2d11d369185520629dac44" ns3:_="" ns4:_="">
    <xsd:import namespace="66371a60-420a-486a-bddb-e6844ab99ec8"/>
    <xsd:import namespace="55d6c6fe-934f-47ac-a9e5-ef3e4435d4d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4:SharedWithUsers" minOccurs="0"/>
                <xsd:element ref="ns4:SharedWithDetails" minOccurs="0"/>
                <xsd:element ref="ns4:SharingHintHash"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71a60-420a-486a-bddb-e6844ab99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6c6fe-934f-47ac-a9e5-ef3e4435d4d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6371a60-420a-486a-bddb-e6844ab99ec8" xsi:nil="true"/>
  </documentManagement>
</p:properties>
</file>

<file path=customXml/itemProps1.xml><?xml version="1.0" encoding="utf-8"?>
<ds:datastoreItem xmlns:ds="http://schemas.openxmlformats.org/officeDocument/2006/customXml" ds:itemID="{FC433E74-8C6A-414D-9984-BADCCBA86A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71a60-420a-486a-bddb-e6844ab99ec8"/>
    <ds:schemaRef ds:uri="55d6c6fe-934f-47ac-a9e5-ef3e4435d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385573-C6C8-49F5-AEDB-F1E2D6F4EF07}">
  <ds:schemaRefs>
    <ds:schemaRef ds:uri="http://schemas.microsoft.com/sharepoint/v3/contenttype/forms"/>
  </ds:schemaRefs>
</ds:datastoreItem>
</file>

<file path=customXml/itemProps3.xml><?xml version="1.0" encoding="utf-8"?>
<ds:datastoreItem xmlns:ds="http://schemas.openxmlformats.org/officeDocument/2006/customXml" ds:itemID="{92E46425-EA58-4185-81A7-857A4DF389E1}">
  <ds:schemaRefs>
    <ds:schemaRef ds:uri="66371a60-420a-486a-bddb-e6844ab99ec8"/>
    <ds:schemaRef ds:uri="http://schemas.microsoft.com/office/2006/metadata/properties"/>
    <ds:schemaRef ds:uri="55d6c6fe-934f-47ac-a9e5-ef3e4435d4d4"/>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BOQ</vt:lpstr>
      <vt:lpstr>BOQ (Final)</vt:lpstr>
      <vt:lpstr>Measurement</vt:lpstr>
      <vt:lpstr>Pic</vt:lpstr>
      <vt:lpstr>Chamber Calc</vt:lpstr>
      <vt:lpstr>'BOQ (Final)'!Print_Area</vt:lpstr>
      <vt:lpstr>Measurement!Print_Area</vt:lpstr>
      <vt:lpstr>Pic!Print_Area</vt:lpstr>
      <vt:lpstr>'BOQ (Final)'!Print_Titles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Satyam Mishra</dc:creator>
  <cp:keywords/>
  <dc:description/>
  <cp:lastModifiedBy>Sanjeev Kumar Sharma</cp:lastModifiedBy>
  <cp:revision/>
  <cp:lastPrinted>2026-06-18T05:52:50Z</cp:lastPrinted>
  <dcterms:created xsi:type="dcterms:W3CDTF">2025-06-13T07:55:50Z</dcterms:created>
  <dcterms:modified xsi:type="dcterms:W3CDTF">2026-06-18T05:53:37Z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0x0101000FC0D75D5B5104469FCBE70298D74DFC</vt:lpwstr>
  </property>
</Properties>
</file>